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tabRatio="899" activeTab="21"/>
  </bookViews>
  <sheets>
    <sheet name="Гус" sheetId="1" r:id="rId1"/>
    <sheet name="Сам" sheetId="2" r:id="rId2"/>
    <sheet name="Хом" sheetId="3" r:id="rId3"/>
    <sheet name="Роз" sheetId="4" r:id="rId4"/>
    <sheet name="Чел" sheetId="5" r:id="rId5"/>
    <sheet name="Красн" sheetId="6" r:id="rId6"/>
    <sheet name="Прим" sheetId="7" r:id="rId7"/>
    <sheet name="Сах" sheetId="8" r:id="rId8"/>
    <sheet name="Кач" sheetId="9" r:id="rId9"/>
    <sheet name="Без" sheetId="10" r:id="rId10"/>
    <sheet name="Сед" sheetId="11" r:id="rId11"/>
    <sheet name="3" sheetId="12" r:id="rId12"/>
    <sheet name="2" sheetId="13" r:id="rId13"/>
    <sheet name="1" sheetId="14" r:id="rId14"/>
    <sheet name="ТЭЦ" sheetId="15" r:id="rId15"/>
    <sheet name="ЦВО" sheetId="16" r:id="rId16"/>
    <sheet name="805" sheetId="17" r:id="rId17"/>
    <sheet name="804" sheetId="18" r:id="rId18"/>
    <sheet name="802" sheetId="19" r:id="rId19"/>
    <sheet name="116" sheetId="20" r:id="rId20"/>
    <sheet name="Выписки СВОД" sheetId="21" state="hidden" r:id="rId21"/>
    <sheet name="СВОД" sheetId="22" r:id="rId22"/>
  </sheets>
  <definedNames>
    <definedName name="_xlnm.Print_Area" localSheetId="13">'1'!$A$1:$I$83</definedName>
    <definedName name="_xlnm.Print_Area" localSheetId="19">'116'!$A$1:$I$40</definedName>
    <definedName name="_xlnm.Print_Area" localSheetId="12">'2'!$A$1:$I$98</definedName>
    <definedName name="_xlnm.Print_Area" localSheetId="11">'3'!$A$1:$I$86</definedName>
    <definedName name="_xlnm.Print_Area" localSheetId="18">'802'!$A$1:$I$45</definedName>
    <definedName name="_xlnm.Print_Area" localSheetId="17">'804'!$A$1:$I$39</definedName>
    <definedName name="_xlnm.Print_Area" localSheetId="16">'805'!$A$1:$I$47</definedName>
    <definedName name="_xlnm.Print_Area" localSheetId="9">'Без'!$A$1:$I$79</definedName>
    <definedName name="_xlnm.Print_Area" localSheetId="20">'Выписки СВОД'!$A$1:$I$1384</definedName>
    <definedName name="_xlnm.Print_Area" localSheetId="0">'Гус'!$A$1:$I$80</definedName>
    <definedName name="_xlnm.Print_Area" localSheetId="8">'Кач'!$A$1:$I$61</definedName>
    <definedName name="_xlnm.Print_Area" localSheetId="5">'Красн'!$A$1:$I$77</definedName>
    <definedName name="_xlnm.Print_Area" localSheetId="6">'Прим'!$A$1:$I$84</definedName>
    <definedName name="_xlnm.Print_Area" localSheetId="3">'Роз'!$A$1:$I$68</definedName>
    <definedName name="_xlnm.Print_Area" localSheetId="1">'Сам'!$A$1:$I$101</definedName>
    <definedName name="_xlnm.Print_Area" localSheetId="7">'Сах'!$A$1:$I$74</definedName>
    <definedName name="_xlnm.Print_Area" localSheetId="21">'СВОД'!$A$1:$I$1441</definedName>
    <definedName name="_xlnm.Print_Area" localSheetId="10">'Сед'!$A$1:$I$100</definedName>
    <definedName name="_xlnm.Print_Area" localSheetId="14">'ТЭЦ'!$A$1:$I$38</definedName>
    <definedName name="_xlnm.Print_Area" localSheetId="2">'Хом'!$A$1:$I$82</definedName>
    <definedName name="_xlnm.Print_Area" localSheetId="15">'ЦВО'!$A$1:$I$54</definedName>
    <definedName name="_xlnm.Print_Area" localSheetId="4">'Чел'!$A$1:$I$47</definedName>
  </definedNames>
  <calcPr fullCalcOnLoad="1"/>
</workbook>
</file>

<file path=xl/sharedStrings.xml><?xml version="1.0" encoding="utf-8"?>
<sst xmlns="http://schemas.openxmlformats.org/spreadsheetml/2006/main" count="16173" uniqueCount="696">
  <si>
    <t>Форма № 21</t>
  </si>
  <si>
    <t>УТВЕРЖДЕНО                     приказом Министерства экономического развития Донецкой Народной Республики от 15 сентября 2016г. №98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</si>
  <si>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"Гусельщиковская школа" администрации Новоазовского района</t>
  </si>
  <si>
    <t>МОУ "Гусельщиковская школа"</t>
  </si>
  <si>
    <t>(наименование заказчика)</t>
  </si>
  <si>
    <t>№ п/п</t>
  </si>
  <si>
    <t xml:space="preserve">Предмет закупки </t>
  </si>
  <si>
    <t>Код предмета закупок и наименование Классификатора</t>
  </si>
  <si>
    <r>
      <t xml:space="preserve">Источник финансирования </t>
    </r>
    <r>
      <rPr>
        <sz val="12"/>
        <color indexed="8"/>
        <rFont val="Times New Roman"/>
        <family val="1"/>
      </rPr>
      <t>(название бюджета и фонда, коды функциональной и экономической классификации расходов (</t>
    </r>
    <r>
      <rPr>
        <i/>
        <sz val="12"/>
        <color indexed="8"/>
        <rFont val="Times New Roman"/>
        <family val="1"/>
      </rPr>
      <t>КФКР и КЭКР)</t>
    </r>
    <r>
      <rPr>
        <sz val="12"/>
        <color indexed="8"/>
        <rFont val="Times New Roman"/>
        <family val="1"/>
      </rPr>
      <t xml:space="preserve"> </t>
    </r>
  </si>
  <si>
    <t>Единицы измерения</t>
  </si>
  <si>
    <t>Количество товара, объем  выполненных работ или услуг, в ед.измерения</t>
  </si>
  <si>
    <r>
      <t xml:space="preserve">Ожидаемая стоимость предмета закупки </t>
    </r>
    <r>
      <rPr>
        <i/>
        <sz val="12"/>
        <color indexed="8"/>
        <rFont val="Times New Roman"/>
        <family val="1"/>
      </rPr>
      <t>(в рос.рублях)</t>
    </r>
  </si>
  <si>
    <r>
      <t xml:space="preserve">Ориентировочное начало закупки </t>
    </r>
    <r>
      <rPr>
        <i/>
        <sz val="12"/>
        <color indexed="8"/>
        <rFont val="Times New Roman"/>
        <family val="1"/>
      </rPr>
      <t>(месяц)</t>
    </r>
  </si>
  <si>
    <t>Другая информация</t>
  </si>
  <si>
    <t>остаток</t>
  </si>
  <si>
    <t>Бумага А-4 (500 л); Изделия канцелярские, бумажные</t>
  </si>
  <si>
    <t>17.23.1; ДК 016:2010</t>
  </si>
  <si>
    <t>общий фонд местного бюджета, КФКР 070201, КЭКР 2210</t>
  </si>
  <si>
    <t>пачка</t>
  </si>
  <si>
    <t>ноябрь 2018 г.</t>
  </si>
  <si>
    <t>Мел школьный,100 шт;Защитные головные уборы; ручки для письма и карандаши, доски, штемпели для датирования, опечатывания и нумерации; ленты к печатным машинкам, штемпельные подушечки</t>
  </si>
  <si>
    <t>32.99.1; ДК 016:2010</t>
  </si>
  <si>
    <t>упак.</t>
  </si>
  <si>
    <t>Файл А4 (упаковка 100 шт.); Изделия пластмассовые прочие, н. в. д. г.</t>
  </si>
  <si>
    <t>22.29.2; ДК 016:2010</t>
  </si>
  <si>
    <t>шт.</t>
  </si>
  <si>
    <t>Средства бытовой химии  (500г);Мыло, средства моющие и средства чистящие</t>
  </si>
  <si>
    <t>20.41.3; ДК 016:2010</t>
  </si>
  <si>
    <t>Средство чистящее для стекла (с распылителем,1л); Мыло, средства моющие и средства чистящие</t>
  </si>
  <si>
    <t>20.43.1; ДК 016:2010</t>
  </si>
  <si>
    <t>Губка;Изделия текстильные готовые другие</t>
  </si>
  <si>
    <t>13.92.2; ДК 016:2010</t>
  </si>
  <si>
    <t>Эмаль алкидная;Краски и лаки на основе полимеров</t>
  </si>
  <si>
    <t>20.30.1; ДК 016:2010</t>
  </si>
  <si>
    <t>кг</t>
  </si>
  <si>
    <t>Замок накладной;Замки и петли</t>
  </si>
  <si>
    <t>25.72.1; ДК 016:2010</t>
  </si>
  <si>
    <t>Смеситель Potato д/кухни;Краны, вентили, клапаны и подобные изделия к трубам, котлам, резервуарам, цистернам и подобным изделиям</t>
  </si>
  <si>
    <t>28.14.1; ДК 016:2010</t>
  </si>
  <si>
    <t>Доска для разделки продуктов; Изделия из древесины, прочие</t>
  </si>
  <si>
    <t>16.29.1; ДК 016:2010</t>
  </si>
  <si>
    <t>Нож кухонный;Изделия ножевые и столовые приборы</t>
  </si>
  <si>
    <t>25.71.1; ДК 016:2010</t>
  </si>
  <si>
    <t>Миска эмалированная 10л;Изделия для ванн и кухни, металлические</t>
  </si>
  <si>
    <t>25.99.1; ДК 016:2010</t>
  </si>
  <si>
    <t>Скребок металлический для посуды;Изделия для ванн и кухни, металлические</t>
  </si>
  <si>
    <t>Перчатки хозяйственные латексные, смотровые, Dermagrip, XL, голубые;Предметы одежды и аксессуары одежды из вулканизированной резины (кроме изготовленных из твердой резины)</t>
  </si>
  <si>
    <t>22.19.6; ДК 016:2010</t>
  </si>
  <si>
    <t>пара</t>
  </si>
  <si>
    <t xml:space="preserve">Миска пищевая пластиковая 10л .;Изделия пластмассовые прочие, н. в. д. г. </t>
  </si>
  <si>
    <t>Миска пластмассовая для пищевых продуктов, 2-3 л.;Изделия пластмассовые прочие, н. в. д. г.</t>
  </si>
  <si>
    <t>Лампа накаливания 100Вт 230В Е27; Лампы накаливания и газоразрядные электрические; лампы дуговые</t>
  </si>
  <si>
    <t>27.40.1; ДК 016:2010</t>
  </si>
  <si>
    <t>Лампа энергосберегающая, 25W 230V E27 4000K спираль T2, ELT19;27.40.3 Лампы и светильники, другие</t>
  </si>
  <si>
    <t>27.40.3; ДК 016:2010</t>
  </si>
  <si>
    <t>Водонагреватель 50 л (независимо от марки производителя);Приборы электрические бытовые, другие, н. в. д. г.</t>
  </si>
  <si>
    <t>27.51.2; ДК 016:2010</t>
  </si>
  <si>
    <t xml:space="preserve">Фасадная табличка из композита размером 600*900 мм с лазерной гравировкой; Услуги рекламных агентств </t>
  </si>
  <si>
    <t>73.11.1; ДК 016:2010</t>
  </si>
  <si>
    <t>ИТОГО ПО 070201, 2210</t>
  </si>
  <si>
    <t>Сухари панировочные;Изделия хлебобулочные, кондитерские, кулинарные, мучные , недлительного хранения</t>
  </si>
  <si>
    <t>10.71.1; ДК 016:2010</t>
  </si>
  <si>
    <t>общий фонд местного бюджета, КФКР 070201, КЭКР 2230</t>
  </si>
  <si>
    <t>октябрь 2018 г.</t>
  </si>
  <si>
    <t>Картофель; Корнеплоды и клубнеплоды с высоким содержанием крахмала или инулина</t>
  </si>
  <si>
    <t>01.13.5; ДК 016:2010</t>
  </si>
  <si>
    <t>Дрожжи сухие;Супы, яйца, дрожжи и другие пищевые продукты; экстракты и соки из мяса, рыбы и водных беспозвоночных</t>
  </si>
  <si>
    <t>10.89.1; ДК 016:2010</t>
  </si>
  <si>
    <t>8г</t>
  </si>
  <si>
    <t>Крупа манная; Крупы, крупка, гранулы и другие продукты из зерна зерновых культур;</t>
  </si>
  <si>
    <t>10.61.3; ДК 016:2010</t>
  </si>
  <si>
    <t xml:space="preserve">Лук репчатый;Корнеплоды и клубнеплоды овощные, культуры овощные луковичные  </t>
  </si>
  <si>
    <t>01.13.4; ДК 016:2010</t>
  </si>
  <si>
    <t xml:space="preserve">Макаронные изделия из мягких сортов пшеницы;Макароны, лапша, кускус и аналогичные мучные изделия    </t>
  </si>
  <si>
    <t>10.73.1; ДК 016:2010</t>
  </si>
  <si>
    <t xml:space="preserve">Масло подсолнечное;Масла рафинированные            </t>
  </si>
  <si>
    <t>10.41.5; ДК 016:2010</t>
  </si>
  <si>
    <t>л</t>
  </si>
  <si>
    <t xml:space="preserve">Масло сливочное;Масло сливочное и молочные пасты                            </t>
  </si>
  <si>
    <t>10.51.3; ДК 016:2010</t>
  </si>
  <si>
    <t xml:space="preserve">Молоко пастеризованное жирностью до 2,5 % включительно; Молоко и сливки, жидкостные, обработанные        </t>
  </si>
  <si>
    <t>10.51.1; ДК 016:2010</t>
  </si>
  <si>
    <t>1000 г</t>
  </si>
  <si>
    <t>Морковь;Корнеплоды и клубнеплоды овощные, культуры овощные луковичные</t>
  </si>
  <si>
    <t>Овощи консервированные (икра кабачковая);Плоды и овощи, обработанные и консервированные, кроме картофеля</t>
  </si>
  <si>
    <t>10.39.1; ДК 016:2010</t>
  </si>
  <si>
    <t>Отдельные порционные части куринные(четверти);Мясо домашней птицы,свежее или охлажденное(замороженное)</t>
  </si>
  <si>
    <t>10.12.1(2); ДК 016:2010</t>
  </si>
  <si>
    <t xml:space="preserve">Паста томатная;Плоды и овощи, обработанные и консервированные, кроме картофеля ; </t>
  </si>
  <si>
    <t>Рис;Рис полуобрушенный или полностью обрушенный, или шелушеный или дробленый</t>
  </si>
  <si>
    <t>10.61.1; ДК 016:2010</t>
  </si>
  <si>
    <t>Рыба мороженная; Продукция рыбная, свежая, охлажденная или мороженая</t>
  </si>
  <si>
    <t>10.20.1; ДК 016:2010</t>
  </si>
  <si>
    <t xml:space="preserve">Сметана жирностью до 15% включительно;Продукты молочные, прочие                                                 </t>
  </si>
  <si>
    <t>10.51.5; ДК 016:2010</t>
  </si>
  <si>
    <t xml:space="preserve">Творог нежирный;Сыр твердый и кисломолочный сыр       </t>
  </si>
  <si>
    <t>10.51.4; ДК 016:2010</t>
  </si>
  <si>
    <t>Филе куринное;Мясо домашней птицы,свежее или охлажденное(замороженное)</t>
  </si>
  <si>
    <t xml:space="preserve">Хлеб пшеничный из муки высшего сорта;Изделия хлебобулочные, кондитерские и кулинарные, мучные, недлительного хранения    </t>
  </si>
  <si>
    <t>Сосиски, сардельки высшего сорта;Консервы и готовые блюда из мяса, мясных субпродуктов или крови;</t>
  </si>
  <si>
    <t>10.13.1; ДК 016:2010</t>
  </si>
  <si>
    <t xml:space="preserve">Чай;Чай и кофе, обработанные                                  </t>
  </si>
  <si>
    <t>10.83.1; ДК 016:2010</t>
  </si>
  <si>
    <t>Яйца куринные;Яйца свежие</t>
  </si>
  <si>
    <t>01.47.2; ДК 016:2010</t>
  </si>
  <si>
    <t>Крупы гречневые;Крупы, крупка, гранулы и другие продукты из зерна зерновых культур</t>
  </si>
  <si>
    <t>ИТОГО ПО 070201, 2230</t>
  </si>
  <si>
    <t>Услуги по вывозу твердых бытовых отходов; Услуги предприятий по транспортировке безопасных отходов</t>
  </si>
  <si>
    <t>38.11.6; ДК 016:2010</t>
  </si>
  <si>
    <t>общий фонд местного бюджета, КФКР 070201, КЭКР 2240</t>
  </si>
  <si>
    <t>м3</t>
  </si>
  <si>
    <t>Услуги по подвозу питьевой воды; Перевозка грузов дорожными транспортными средствами</t>
  </si>
  <si>
    <t>49.41.1; ДК 016:2010</t>
  </si>
  <si>
    <t>услуга</t>
  </si>
  <si>
    <t>900 л</t>
  </si>
  <si>
    <t>Телефонная связь (абонплата); Услуги по передаче данных сетями проводной связи</t>
  </si>
  <si>
    <t>61.10.3; ДК 016:2010</t>
  </si>
  <si>
    <t>3 месяца</t>
  </si>
  <si>
    <t xml:space="preserve">Кассовое обслуживание; Услуги центрального банка </t>
  </si>
  <si>
    <t>64.11.1; ДК 016:2010</t>
  </si>
  <si>
    <t>%</t>
  </si>
  <si>
    <t>0,5 от суммы ожидаемой налички</t>
  </si>
  <si>
    <t>Санитарно-гигиенический анализ воды; Услуги в сфере здравоохранения прочие</t>
  </si>
  <si>
    <t>86.90.1; ДК 016:2010</t>
  </si>
  <si>
    <t>Дезинcекция; Услуги по очистки, другие</t>
  </si>
  <si>
    <t>81.29.1; ДК 16:2010</t>
  </si>
  <si>
    <t>м²</t>
  </si>
  <si>
    <t>Дератизация; Услуги по очистки, другие</t>
  </si>
  <si>
    <t>Оборудование узла тепловой энергии; Монтаж водопроводных, канализационных, систем отопления, вентиляции и кондиционирования воздуха</t>
  </si>
  <si>
    <t>43.22.1; ДК 016:2010</t>
  </si>
  <si>
    <t>Заправка картриджа; Ремонт компьютеров и периферийного оборудования</t>
  </si>
  <si>
    <t>95.11.1; ДК 016:2010</t>
  </si>
  <si>
    <t>декабрь 2018 г.</t>
  </si>
  <si>
    <t>Изготовление техусловий на установку теплосчетчика; Услуги по проектированию интерьеров, промышленной продукции и другие специализированные услуги по проектированию</t>
  </si>
  <si>
    <t>74.10.1; ДК 016:2010</t>
  </si>
  <si>
    <t>Изготовление проектной документации на установку теплосчетчика; Услуги по проектированию интерьеров, промышленной продукции и другие специализированные услуги по проектированию</t>
  </si>
  <si>
    <t>ИТОГО ПО 070201, 2240</t>
  </si>
  <si>
    <t>Отлата теплоснабжения: Пар и горячая вода; услуги по поставке пара и горячей воды</t>
  </si>
  <si>
    <t>35.30.1; ДК 016:2010</t>
  </si>
  <si>
    <t>общий фонд местного бюджета, КФКР 070201, КЭКР 2271</t>
  </si>
  <si>
    <t>Гкал, кв.м</t>
  </si>
  <si>
    <t>ИТОГО ПО 070201, 2271</t>
  </si>
  <si>
    <t xml:space="preserve">Оплата электроэнергии; Энергия электрическая </t>
  </si>
  <si>
    <t>35.11.1; ДК 016:2010</t>
  </si>
  <si>
    <t>общий фонд местного бюджета, КФКР 070201, КЭКР 2273</t>
  </si>
  <si>
    <t>кВт/час</t>
  </si>
  <si>
    <t>ИТОГО ПО 070201, 2273</t>
  </si>
  <si>
    <t>Теплосчетчик Multical 602 (UF), диаметр расходомерного участка 40 мм, G ном=10,00 м.куб/час; Приборы для контроля прочих физических характеристик</t>
  </si>
  <si>
    <t>26.51.5; ДК 016:2010</t>
  </si>
  <si>
    <t>общий фонд местного бюджета, КФКР 070201, КЭКР 3110</t>
  </si>
  <si>
    <t>ИТОГО ПО 070201, 3110</t>
  </si>
  <si>
    <r>
      <t xml:space="preserve">Утвержден протоколом заседания комитета по конкурсным закупкам        от </t>
    </r>
    <r>
      <rPr>
        <sz val="10"/>
        <color indexed="8"/>
        <rFont val="Times New Roman"/>
        <family val="1"/>
      </rPr>
      <t>" 09 октября 2018 г.   №39</t>
    </r>
  </si>
  <si>
    <t xml:space="preserve">Председатель  комитета по конкурсным закупкам </t>
  </si>
  <si>
    <t>Степаненко Е.В.</t>
  </si>
  <si>
    <t>(ФИО, подпись)</t>
  </si>
  <si>
    <t>М.П.</t>
  </si>
  <si>
    <t>Секретарь комитета по конкурсным закупкам</t>
  </si>
  <si>
    <t>Лукиенко М.Г.</t>
  </si>
  <si>
    <t>СОГЛАСОВАНО:</t>
  </si>
  <si>
    <t>Начальник отдела образования администрации Новоазовского района</t>
  </si>
  <si>
    <t>Сафронова А.В.</t>
  </si>
  <si>
    <t>(должность первого руководителя заказчика)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</si>
  <si>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"Самойловская школа" администрации Новоазовского района</t>
  </si>
  <si>
    <t>Фотобумага глянцевая, 180 г/м.кв, А-4 50л. Фотопластинки и фотопленки, пленка для мгновенной печати, фотохимикаты и фотографические не смешанные вещества.</t>
  </si>
  <si>
    <t>20.59.1;ДК 016:2010</t>
  </si>
  <si>
    <t>упаковка</t>
  </si>
  <si>
    <t>Ватман (А-1); Изделия канцелярские, бумажные</t>
  </si>
  <si>
    <t>Гуашь 6 цветов; Лаки и краски, другая связанная с ними продукция, красители художественные и печатные чернила</t>
  </si>
  <si>
    <t>20.30.2; ДК 016:2010</t>
  </si>
  <si>
    <t>Папка скоросшиватель пластиковая; Изделия пластмассовые и другие</t>
  </si>
  <si>
    <t>Клей ПВА 250 гр.; Клеи</t>
  </si>
  <si>
    <t>20.52.1; ДК 016:2010</t>
  </si>
  <si>
    <t>Скотч 42*200 м прозрачный; Изделия пластмассовые и другие</t>
  </si>
  <si>
    <t>Мел школьный 100 шт.; Головные уборы защитные, ручки письменные и карандаши, доски, штам для датировки, опечатывания и нумерации, ленточки к печатным машинкам, штемпельные подушечки.</t>
  </si>
  <si>
    <t>Файл А-4 упаковка 100 шт.; Изделия пластмассовые и другие</t>
  </si>
  <si>
    <t>Папка на завязках; Изделия канцелярские, бумажные</t>
  </si>
  <si>
    <t>Тетрадь А-4 48л.; Изделия канцелярские, бумажные</t>
  </si>
  <si>
    <t>Бумага А-4 цветная 80 г/м кв. ; Изделия канцелярские, бумажные</t>
  </si>
  <si>
    <t>Кисть (Белка, круглая) №5; Метлы и щетки</t>
  </si>
  <si>
    <t>32.91.1; ДК 016:2010</t>
  </si>
  <si>
    <t>Губка; Изделия текстильные готовые</t>
  </si>
  <si>
    <t>Пакет для мусора малый (35л.); Изделия пластмассовые и другие</t>
  </si>
  <si>
    <t>Обои; Обои</t>
  </si>
  <si>
    <t>17.24.1; ДК 016:2010</t>
  </si>
  <si>
    <t xml:space="preserve">кв.м </t>
  </si>
  <si>
    <t>Скребок металлический для посуды; Изделия для ванн и кухни,  металлические</t>
  </si>
  <si>
    <t>Кисть макловица 130*30 мм; Метлы и щетки</t>
  </si>
  <si>
    <t>Миска пищевая пластиковая 10л; Изделия пластмассовые и другие</t>
  </si>
  <si>
    <t>Поднос пластмассовый 500*400м; Изделия пластмассовые и другие</t>
  </si>
  <si>
    <t>Сито из нержавеющей стали диаметр 250 мм; Изделия для ванн и кухни,  металлические</t>
  </si>
  <si>
    <t>Толкушка металлическая ; Изделия для ванн и кухни,  металлические</t>
  </si>
  <si>
    <t>25.99.1;ДК 016:2010</t>
  </si>
  <si>
    <t>Эмаль алкидная; Лаки и краски на основе полимеров</t>
  </si>
  <si>
    <t>кг.</t>
  </si>
  <si>
    <t>Лампа 100Вт Е27 ; лампа накаливания и газоразрядные электрические, лампы дуговые</t>
  </si>
  <si>
    <t>Перчатки резиновые; Предметы одежды и аксессуары одежды  из вулканизированной резины</t>
  </si>
  <si>
    <t xml:space="preserve">Саморез по дереву 4,0*30 (саморез без шляпки); Издели крепежные и винтонаризные </t>
  </si>
  <si>
    <t>25.94.1; ДК 016:2010</t>
  </si>
  <si>
    <t>Саморез по дереву 3,5*45; Издели крепежные и винтонаризные</t>
  </si>
  <si>
    <t>Мышь оптическая Gembird MUSOPORT18, 800dpi, USB, Black; Оборудование электрическое и др, его части</t>
  </si>
  <si>
    <t>27.90.1;ДК 016:2010</t>
  </si>
  <si>
    <t>Фломастеры 12 цветов; Головные уборы защитные, ручки письменные и карандаши, доски, штам для датировки, опечатывания и нумерации, ленточки к печатным машинкам, штемпельные подушечки.</t>
  </si>
  <si>
    <t>Средство бытовой химии 500г.; Мыло, моющие средства и средства для чистки</t>
  </si>
  <si>
    <t>Блок оконный металлопластиковый; Изделия пластиковые для строительства, линолеум и покрытие для пола, твердые не пластиковые</t>
  </si>
  <si>
    <t>22.23.1; ДК 016:2010</t>
  </si>
  <si>
    <t>кв.м.</t>
  </si>
  <si>
    <t>Подоконник белый, ширина 400мм; Изделия пластмассовые для строительства; линолеум и покрытия на пол, твердые, не пластиковые</t>
  </si>
  <si>
    <t>пог.м.</t>
  </si>
  <si>
    <t>Отлив белый; Изделия конструкционные металлические и их части</t>
  </si>
  <si>
    <t>25.11.2; ДК 016:2010</t>
  </si>
  <si>
    <t>п.м.</t>
  </si>
  <si>
    <t>Штора драпировочная 2,5*3 м; Изделия текстильные готовые для домашнего хозяйства</t>
  </si>
  <si>
    <t>13.92.1; ДК 016:2010</t>
  </si>
  <si>
    <t>Шпатлевка гипсовая; Краски и лаки др., и связанная с ними продукция, красители художественные и др.чернила</t>
  </si>
  <si>
    <t>20.30.2;  ДК 016:2010</t>
  </si>
  <si>
    <t xml:space="preserve"> Мыло,средство моющие средство для чистки  (Моющее средство для чистки 5л); Мыло, моющие средства и средства для чистки</t>
  </si>
  <si>
    <t xml:space="preserve">Капуста белокачанная;Овощи листовые и стеблевидные </t>
  </si>
  <si>
    <t>01.13.1; ДК 016:2010</t>
  </si>
  <si>
    <t>Бобовые(горох);Овощи бобовые сушеные</t>
  </si>
  <si>
    <t>01.11.7; ДК 016:2010</t>
  </si>
  <si>
    <t>Мука пшеничная;Мука зерновых и овощных культур;их смеси</t>
  </si>
  <si>
    <t>10.61.2; ДК 016:2010</t>
  </si>
  <si>
    <t xml:space="preserve">Свекла;Свекла сахарная и семена сахарной свеклы              </t>
  </si>
  <si>
    <t>01.13.7; ДК 016:2010</t>
  </si>
  <si>
    <t xml:space="preserve">Соль;Соль пищевая                    </t>
  </si>
  <si>
    <t>10.84.3; ДК 016:2010</t>
  </si>
  <si>
    <t xml:space="preserve">Субпродукты куринные(печень);Субпродукты пищевые домашней птицы                           </t>
  </si>
  <si>
    <t>10.12.4; ДК 016:2010</t>
  </si>
  <si>
    <t xml:space="preserve">Яблоки;Яблоки     </t>
  </si>
  <si>
    <t>01.24.1; ДК 016:2010</t>
  </si>
  <si>
    <t>Соки фруктово-ягодные т/п;Соки фруктовые и овощные</t>
  </si>
  <si>
    <t>10.32.1; ДК 016:2010</t>
  </si>
  <si>
    <t>Овощи консервированные (горошек);Плоды и овощи, обработанные и консервированные, кроме картофеля ;</t>
  </si>
  <si>
    <t>Оплата интернет услуг; Услуги связи интернета  проводными сетями</t>
  </si>
  <si>
    <t>61.10.4; ДК 016:2010</t>
  </si>
  <si>
    <t xml:space="preserve">Телефонная связь (абонплата); Услуги передачи данных сетями проводной связи </t>
  </si>
  <si>
    <t>Кассовое обслуживание; Услуги центрального банка</t>
  </si>
  <si>
    <t>Санитарно-гигиенический анализ воды;  Услуги в сфере здравоохранения, другие</t>
  </si>
  <si>
    <t>Дезинсекция; Услуги по очистке и другие</t>
  </si>
  <si>
    <t>81.29.1; ДК 016:2010</t>
  </si>
  <si>
    <t>Дератизация; Услуги по очитке и другие</t>
  </si>
  <si>
    <t>Техническое обслуживание огнетушителеей ВП-5  (ОП - 5) "Перезарядка" ; Ремонт и техобслуживание машин общего предназначения</t>
  </si>
  <si>
    <t>33.12.1; ДК 016:2010</t>
  </si>
  <si>
    <t>Отлата теплоснабжения; Пар и горячая вода, услуги по поставке пара и горячей воды</t>
  </si>
  <si>
    <t>Водоснабжение; Услуги по обработке и распределению воды по трубопроводам</t>
  </si>
  <si>
    <t>36.00.2; ДК 016:2010</t>
  </si>
  <si>
    <t>общий фонд местного бюджета, КФКР 070201, КЭКР 2272</t>
  </si>
  <si>
    <t>ИТОГО ПО 070201, 2272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</si>
  <si>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"Хомутовская школа" администрации Новоазовского района</t>
  </si>
  <si>
    <r>
      <t xml:space="preserve">Источник финансирования </t>
    </r>
    <r>
      <rPr>
        <sz val="11"/>
        <color indexed="8"/>
        <rFont val="Times New Roman"/>
        <family val="1"/>
      </rPr>
      <t>(название бюджета и фонда, коды функциональной и экономической классификации расходов (</t>
    </r>
    <r>
      <rPr>
        <i/>
        <sz val="11"/>
        <color indexed="8"/>
        <rFont val="Times New Roman"/>
        <family val="1"/>
      </rPr>
      <t>КФКР и КЭКР)</t>
    </r>
    <r>
      <rPr>
        <sz val="11"/>
        <color indexed="8"/>
        <rFont val="Times New Roman"/>
        <family val="1"/>
      </rPr>
      <t xml:space="preserve"> </t>
    </r>
  </si>
  <si>
    <r>
      <t xml:space="preserve">Ожидаемая стоимость предмета закупки </t>
    </r>
    <r>
      <rPr>
        <i/>
        <sz val="11"/>
        <color indexed="8"/>
        <rFont val="Times New Roman"/>
        <family val="1"/>
      </rPr>
      <t>(в рос.рублях)</t>
    </r>
  </si>
  <si>
    <r>
      <t xml:space="preserve">Ориентировочное начало закупки </t>
    </r>
    <r>
      <rPr>
        <i/>
        <sz val="11"/>
        <color indexed="8"/>
        <rFont val="Times New Roman"/>
        <family val="1"/>
      </rPr>
      <t>(месяц)</t>
    </r>
  </si>
  <si>
    <t>юр</t>
  </si>
  <si>
    <t>Раздел II п 2.3 абзац 3 Временного Порядка о проведении закупок товаров, работ и услуг за бюджетные средства и собственные средства предприятий в Донецкой Народной Республике</t>
  </si>
  <si>
    <t>Файл А4 (упаковка 100 шт.); Изделия пластмассовые другие. н. в. и .в.</t>
  </si>
  <si>
    <t>Мыло, средство моющие и средства для чистки (моющее средство, 5 л.); Мыло, моющие средства и средства для чистки</t>
  </si>
  <si>
    <t>Средство чистящее для стекла (распылителем, 1 л.); Мыло, моющие средства и средства для чистки</t>
  </si>
  <si>
    <t>Эмаль алкидная; Краски и лаки на основе полимеров</t>
  </si>
  <si>
    <t>Разнос кухонный металлический 40*60; Изделия для ванн и кухни, металлические</t>
  </si>
  <si>
    <t>Умывальник "Тюльпан"; Изделия санитарно-технические керамические</t>
  </si>
  <si>
    <t>23.42.1; ДК 016:2010</t>
  </si>
  <si>
    <t>Сушка для посуды 300х800 (метал.); Изделия для ванн и кухни, металлические</t>
  </si>
  <si>
    <t>Сифон для умывальника; Изделия пластмассовые для строительства; линолиум и покрытия на пол, твердые, не пластмассовые</t>
  </si>
  <si>
    <t>Набор кистей (3 шт. курглые № 7,12, плоская № 12) щетина; Метлы и щетки</t>
  </si>
  <si>
    <t>пог. м.</t>
  </si>
  <si>
    <t>Москитная сетка; Изделия пластмассовые для строительства; линолеум и покрытия на пол, твердые, не пластиковые</t>
  </si>
  <si>
    <t>Подоконник пластиковый; Изделия пластмассовые для строительства; линолиум и покрытия на пол, твердые, не пластмассовые</t>
  </si>
  <si>
    <t>Блок оконный металлопластиковый; Изделия пластмассовые для строительства; линолиум и покрытия на пол, твердые, не пластмассовые</t>
  </si>
  <si>
    <t>Крупа манная;Крупы, крупка, гранулы и другие продукты из зерна зерновых культур</t>
  </si>
  <si>
    <t xml:space="preserve">Какао;Какао тертое, какао-масло, жиры и масло, какао порошок         </t>
  </si>
  <si>
    <t>10.82.1; ДК 016:2010</t>
  </si>
  <si>
    <t>Маргарин;Маргарин и анологичные пищевые жиры</t>
  </si>
  <si>
    <t>10.42.1; ДК 016:2010</t>
  </si>
  <si>
    <t>10.20.1;  ДК 016:2010</t>
  </si>
  <si>
    <t xml:space="preserve">Сахар;Сахар-сырец, тростниковый и очищенный тростниковый или свекольный сахар (сахароза); меласса  </t>
  </si>
  <si>
    <t>10.81.1; ДК 016:2010</t>
  </si>
  <si>
    <t>Сухофрукты;Плоды и орехи, обработанные и консервированные;</t>
  </si>
  <si>
    <t>10.39.2; ДК 016:2010</t>
  </si>
  <si>
    <t>Крупа пшеничная Артек;Крупы, крупка, гранулы и другие продукты из зерна зерновых культур</t>
  </si>
  <si>
    <t xml:space="preserve">Телефонная связь (подключение и абонплата); Услуги передачи данных сетями проводной связи </t>
  </si>
  <si>
    <t>0,5 от суммы налички</t>
  </si>
  <si>
    <t>Санитарно-гигиенический анализ воды; Услуги в сфере здравоохранения, другие</t>
  </si>
  <si>
    <t xml:space="preserve">86.90.1 ; ДК 016:2010 </t>
  </si>
  <si>
    <t>месяц</t>
  </si>
  <si>
    <t>Дератизация; Услуги по очистке, другие</t>
  </si>
  <si>
    <t>м2</t>
  </si>
  <si>
    <t>Дезинсекция; Услуги по очистки, другие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</si>
  <si>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"Розовская школа" администрации Новоазовского района</t>
  </si>
  <si>
    <t>МОУ "Розовская школа"</t>
  </si>
  <si>
    <t>Мыло,моющие средства и средства для чистки (моющее средство 5л.);  Мыло, средства моющие и средства для чистки</t>
  </si>
  <si>
    <t>Пакет для мусора большой (60л); Изделия пластмассовые прочие, н. в. д. г.</t>
  </si>
  <si>
    <t>Пакет для мусора малый (35л); Изделия пластмассовые прочие, н. в. д. г.</t>
  </si>
  <si>
    <t>Перчатки резиновые; Предметы одежды и аксессуары одежды из вулканизированной резины (кроме изготовленных из твердой резины)</t>
  </si>
  <si>
    <t>Стул школьный; Мебель для сидения и ее комплектующие</t>
  </si>
  <si>
    <t>31.00.1; ДК 016:2010</t>
  </si>
  <si>
    <t>Услуги по подвозу питьевой воды; Перевозки грузов дорожными транспортными средствами</t>
  </si>
  <si>
    <t>Санитарно-гигиенический анализ воды;Услуги в сфере здравоохранения, другие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</si>
  <si>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"Челюскинская школа" администрации Новоазовского района</t>
  </si>
  <si>
    <t>остаток юр</t>
  </si>
  <si>
    <t>Бумага А-4 (500 ); Изделия канцелярские, бумажные</t>
  </si>
  <si>
    <t xml:space="preserve">17.23.1; ДК 016:2010 </t>
  </si>
  <si>
    <t>Мел школьный 100шт;  Изделия промышленные, прочие, н.в.и.у</t>
  </si>
  <si>
    <t xml:space="preserve">32.99.1; ДК 016:2010 </t>
  </si>
  <si>
    <t>Грамота. Благодарственное письмо;  Изделия канцелярские, бумажные</t>
  </si>
  <si>
    <t>Гуашь Луч" Люкс" 12 цветов х20 мл;  Краски и лаки,другие,связанная с ними продукция; красители художественные и чернила для печати.</t>
  </si>
  <si>
    <t>Файл А-4(упаковка 100 шт); Изделия пластмассовые прочие, н.в.д.г.</t>
  </si>
  <si>
    <t>шт</t>
  </si>
  <si>
    <t>Средство чистящее для стекла ( с распылителем);  Мыло, средства моющие и средства для чистки.</t>
  </si>
  <si>
    <t xml:space="preserve">20.41.3; ДК 016:2010 </t>
  </si>
  <si>
    <t>Дезинфицирующее средство (Хлоризоциануровая кислота "Хлороцид"."Хлордез"); Пестициды и другие агрохимические продукты</t>
  </si>
  <si>
    <t xml:space="preserve">20.20.1; ДК 016:2010 </t>
  </si>
  <si>
    <t xml:space="preserve">20.30.1; ДК 016:2010 </t>
  </si>
  <si>
    <t>Краска водоэмульсионная; Краски и  лаки на основе полимеров</t>
  </si>
  <si>
    <t>литр</t>
  </si>
  <si>
    <t>Кисть плоская 40 мм; Мётлы и щётки</t>
  </si>
  <si>
    <t>Лампа накаливания 100ВТ 230В Е27; Лампы накаливания и газоразрядные электрические; лампы дуговые</t>
  </si>
  <si>
    <t>Стул; Мебель для сидения и комплектующие части</t>
  </si>
  <si>
    <t>Набор для смывного бачка унитаза; Изделия для ванн и кухни, металлические</t>
  </si>
  <si>
    <t>Услуги по вывозу твердых бытовых отходов; Услуги предприятий по перевозке неопасных отходов</t>
  </si>
  <si>
    <t>л.</t>
  </si>
  <si>
    <t>Дезинcекция; Услуги по очистке другие</t>
  </si>
  <si>
    <t>Дератизация; Услуги по очистке другие</t>
  </si>
  <si>
    <t xml:space="preserve">РКО; Услуги центрального банка  </t>
  </si>
  <si>
    <t xml:space="preserve">64.11.1; ДК 016:2010 </t>
  </si>
  <si>
    <t>0,5 от суммы наличных</t>
  </si>
  <si>
    <t>Санитарно-гигиенический анализ воды; Услуги лечебных заведений</t>
  </si>
  <si>
    <t xml:space="preserve">86.90.1; ДК 016:2010 </t>
  </si>
  <si>
    <t>Техническое обслуживание огнетушителя ВВК-1,4(ОУ-2)(Перезарядка); Ремонт и техническое обслуживание машин общего назначения</t>
  </si>
  <si>
    <t xml:space="preserve">33.12.1; ДК 016:2010 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</si>
  <si>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"Красноармейская школа" администрации Новоазовского района</t>
  </si>
  <si>
    <t>Доска для разделки продуктов; Изделия из дерева другие</t>
  </si>
  <si>
    <t>Весы электронные торговые до 40 кг; Оборудование для взвешивания и измерения промышленное, бытовое и другого назначения</t>
  </si>
  <si>
    <t>28.29.3; ДК 016:2010</t>
  </si>
  <si>
    <t>Коврик диэлектрический 600*600мм, резиновый; Изделия из вулканической резины</t>
  </si>
  <si>
    <t>22.19.7; ДК 016:2010</t>
  </si>
  <si>
    <t>Унитаз компакт; Изделия санитарно-технические керамические</t>
  </si>
  <si>
    <t>Лампа энергосберегающая 25 W 230V E 27; Лампы и светильники другие</t>
  </si>
  <si>
    <t>Тен бытовой на водонагр.баки 80 л 1,5 кВт 220 Вт, 1500 W; Оборудование электрическое бытовое</t>
  </si>
  <si>
    <t>Гофра для унитаза; Трубы, трубки, шланги и фитинги к ним пластмасовые</t>
  </si>
  <si>
    <t>22.21.2; ДК 016:2010</t>
  </si>
  <si>
    <t>общий фонд местного бюджета, КФКР070201, КЭКР2210</t>
  </si>
  <si>
    <t>Смеситель для кухни настенный 005 Gromix  картридж 35 мм; Краны, вентили, клапаны и подобные изделия к трубам</t>
  </si>
  <si>
    <t>Кран для мойки для холодной воды R-6 Globo; Краны, вентили, клапаны и подобные изделия к трубам</t>
  </si>
  <si>
    <t>Веник; Метлы и щетки</t>
  </si>
  <si>
    <t>32.91.1; ДК016:2010</t>
  </si>
  <si>
    <t>Дезинфицирующее средство(Дихлоризоциануровая кислота,Хлороцид,Хлордез); Пестициды и другие агрохимические продукты</t>
  </si>
  <si>
    <t>20.20.1; ДК 016:2010</t>
  </si>
  <si>
    <t>17.23.1; ДК016:2010</t>
  </si>
  <si>
    <t>ФайлА4(упаковка100шт); Изделия пластмасовые другие</t>
  </si>
  <si>
    <t>Мел школьный, 100 шт; Защитные головные уборы; ручки для письма и карандаши, доски, штемпели для датирования, опечатывания и нумерации; ленты к печатным машинкам, штемпельные подушечки</t>
  </si>
  <si>
    <t>Средства бытовой химии(500г); Мыло,средства моющие и средства чистящие</t>
  </si>
  <si>
    <t>Губка; Изделия текстильные готовые другие</t>
  </si>
  <si>
    <t>Мыло средства моющие и средства для чистки(моющие средства,5л); Мыло, средства моющие и средства чистящие</t>
  </si>
  <si>
    <t>Техническое обслуживание огнетушителей углекислотных ВВК-1,4(ОУ-2); Ремонт и техническое обслуживание машин общего назначения</t>
  </si>
  <si>
    <t>Заправка картриджа; Ремонт компьтеров и периферийного оборудования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</si>
  <si>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"Приморская школа" администрации Новоазовского района</t>
  </si>
  <si>
    <t>Бумага А-4(500л); Изделия канцелярские, бумажные</t>
  </si>
  <si>
    <t xml:space="preserve">Мел школьный 100 шт; Уборы головные защитные, ручки для писания и карандаши, доски, штемпели для датирования, опечатывания ленты к печатным машинкам, штемпельные подушечки и номирования; </t>
  </si>
  <si>
    <t>Средства бытовой химии(500г.); Мыло, моющие средства и средства для чистки</t>
  </si>
  <si>
    <t>Мыло, средство моющие и средства для чистки (моющее средства, 5 л.); Мыло, моющие средства и средства для чистки</t>
  </si>
  <si>
    <t>Перчатки защитные (диэлектрические)для работы с высоким напряжением до 1000 Вт; Предметы одежды и аксессуары одежды с вулканизированной резины (кроме изготовленных с твердой резины)</t>
  </si>
  <si>
    <t>Кастрюля алюминевая 1л.; Изделия для ванн и кухни металлические.</t>
  </si>
  <si>
    <t>Веник хозяйственный сорго; Метлы и щетки</t>
  </si>
  <si>
    <t>Доска для разделки продуктов; Изделия из дерева другие.</t>
  </si>
  <si>
    <t>Миска пищевая пластиковая 10 л.; Изделия пластмассовые другие, н.в.и.в.</t>
  </si>
  <si>
    <t>Миска пластмассовая для пищевых продуктов, 2-3 л.; Изделия пластмассовые другие, н.в.и.в.</t>
  </si>
  <si>
    <t>Шумовка из нержавеющей стали; Изделия для ванн и кухни металлические</t>
  </si>
  <si>
    <t>Кастрюля эмалированная 3-л с крышкой; Изделия для ванн и кухни металлические</t>
  </si>
  <si>
    <t>Нож кухонный; Изделия ножевые и столовые приборы</t>
  </si>
  <si>
    <t>Сито для муки; Изделия из дерева другие</t>
  </si>
  <si>
    <t>Удлинитель 5 м. с заземл.+ выключ.; Провода и кабели электронные и электрические другие</t>
  </si>
  <si>
    <t>27.32.1; ДК 016:2010</t>
  </si>
  <si>
    <t>Водонагреватель 100л (независимо от марки производителя); Приборы электрические бытовые другие</t>
  </si>
  <si>
    <t>Лампа накаливания 100 ВТ  Е27; Лампы накаливания и газорозрядные электрические, лампы дуговые</t>
  </si>
  <si>
    <t>Знаки противопожарной безопасности (наклейка); Изделия канцелярские, бумажные</t>
  </si>
  <si>
    <t>17.23.1; ДК  016:2010</t>
  </si>
  <si>
    <t>Сковорода dм чугун с дер. ручкой; Изделия для ванн и кухни металлические</t>
  </si>
  <si>
    <t>РКО; Услуги центрального банка</t>
  </si>
  <si>
    <t>Техническое обслуживание огнетушителей углекислотных (ОУ-3)  (Перезарядка); Починка и техническое обслуживание машин общего назначения </t>
  </si>
  <si>
    <t>Дезинсекция; Услуги по очистке другие</t>
  </si>
  <si>
    <t>Санитарно-гигиенический анализ воды; Услуги в сфере здравоохранения другие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</si>
  <si>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"Саханская школа" администрации Новоазовского района</t>
  </si>
  <si>
    <t>Папка - скорошиватель пластиковая; Изделия пластмассовые прочие, н. в. д. г.</t>
  </si>
  <si>
    <t>Дезинфицирующее средство (Дихлоризоциануровая кислота  "Хлороцид", "Хлордез"); Пестициды и прочие агрохимические продукты</t>
  </si>
  <si>
    <t>Метла пластмассовая; Метлы и щетки</t>
  </si>
  <si>
    <t>Миска эмалированная, 10 л; Изделия для ванн и кухни, металлические</t>
  </si>
  <si>
    <t>Стакан граненый стеклянный, 250 гр; Изделия хозяйственные и декоративные керамические</t>
  </si>
  <si>
    <t>23.41.1; ДК 016:2010</t>
  </si>
  <si>
    <t>Перчатки трикотажные ПВХ покрытие; Одежда рабочая, другая</t>
  </si>
  <si>
    <t>14.12.3; ДК 016:2010</t>
  </si>
  <si>
    <t>Грабли веерные; Инструменты ручные для использования в сельском хозяйстве, садоводстве или лесном хозяйстве</t>
  </si>
  <si>
    <t>25.73.1; ДК 016:2010</t>
  </si>
  <si>
    <t>Терка 4-х сторонняя (металлическая); Изделия ножевые и столовые приборы</t>
  </si>
  <si>
    <t>Поднос пластмассовый 500х400 мм; Изделия пластмассовые прочие, н. в. д. г.</t>
  </si>
  <si>
    <t>Сито для муки; Изделия из древесины, прочие</t>
  </si>
  <si>
    <t>Тарелка мелкая 200мм; Изделия хозяйственные и декоративные керамические</t>
  </si>
  <si>
    <t>Кисть плоская 40 мм; Метлы и щетки</t>
  </si>
  <si>
    <t>Лампа накаливания 100 Вт 230 Вт Е27; Лампы накаливания и газоразрядные электрические; лампы дуговые</t>
  </si>
  <si>
    <t>Розетки скрытой проводки с заземлением; Устройства электромонтажные</t>
  </si>
  <si>
    <t>27.33.1; ДК 016:2010</t>
  </si>
  <si>
    <t xml:space="preserve">Стул школьный; Мебель для сидения и ее комплектующие </t>
  </si>
  <si>
    <t>Дезинсекция; Услуги по очистке, другие</t>
  </si>
  <si>
    <t>300 литров</t>
  </si>
  <si>
    <t>Техническое обслуживание огнетушителей углекислотных ВВК-1,4(ОУ-2) перезарядка; Ремонт и техническое обслуживание машин общего назначения</t>
  </si>
  <si>
    <t>Техническое обслуживание огнетушителей углекислотных ВП-54(ОП-5) перезарядка; Ремонт и техническое обслуживание машин общего назначения</t>
  </si>
  <si>
    <t>Теплосчетчик Multical UF одноканальный Ду25; Инструменты и приборы измерительные, контрольные и испытательные, другие</t>
  </si>
  <si>
    <t>26.51.6; ДК 016:2010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</si>
  <si>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"Митьково - Качкарская школа" администрации Новоазовского района</t>
  </si>
  <si>
    <t>Веник;  Метла и щетки</t>
  </si>
  <si>
    <t>32.91.1; ДК  016:2010</t>
  </si>
  <si>
    <t>Лампа накаливания 100Вт 230В Е27 ; Лампы накаливания и газоразрядные электрические; лампы дуговые</t>
  </si>
  <si>
    <t>300 л.</t>
  </si>
  <si>
    <t>октябрь2018 г.</t>
  </si>
  <si>
    <t>Техническое обслуживание огнетушителей углекислотных (ОУ-3) перезарядка; Ремонт и техническое обслуживание машин общего назначения</t>
  </si>
  <si>
    <t>Техническое обслуживание огнетушителей углекислотных ВП-6 (ОП-6) перезарядка; Ремонт и техническое обслуживание машин общего назначения</t>
  </si>
  <si>
    <t>Техническое обслуживание огнетушителей углекислотных ВП-5 (ОП-5) перезарядка; Ремонт и техническое обслуживание машин общего назначения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</si>
  <si>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"Безыменская школа" администрации Новоазовского района</t>
  </si>
  <si>
    <t>Файл А4 (упаковка 100 шт.); Изделия пластмасовые прочие, н.в.д.г</t>
  </si>
  <si>
    <t>Клей-карандаш (36г); Клеи</t>
  </si>
  <si>
    <t>20.52.1ДК 016:2010</t>
  </si>
  <si>
    <t>Папка  пластиковая с прижимом; Изделия пластмасовые прочие, н.в.д.г</t>
  </si>
  <si>
    <t>Дезинфицирующее средство (Дихлоризоциануровая кислота  "Хлороцид", "Хлордез"); Средства дезинфекционные</t>
  </si>
  <si>
    <t>Средства бытовой химии (500 г); Мыло, средства моющие и чистящие</t>
  </si>
  <si>
    <t xml:space="preserve">Обои; Обои и подобные настенные покровы; бумага прозрачная для окон  </t>
  </si>
  <si>
    <t>Кастрюля 50 л. Алюминевая с крышкой; Изделия для ванны, кухни металлические</t>
  </si>
  <si>
    <t>Разносы для чащек пластмассовые 40*60; Изделия пластмассовые прочие, н.в.д.г.</t>
  </si>
  <si>
    <t>Кастрюля алюминевая20 л; Изделия для ванны, кухни металлические</t>
  </si>
  <si>
    <t>Мат гимнастический 1*2; Изделия спортивные</t>
  </si>
  <si>
    <t>32.30.1; ДК 016:2010</t>
  </si>
  <si>
    <t>Бобовые;Овощи бобовые сушеные</t>
  </si>
  <si>
    <t>Соки фруктово-ягодные;Соки фруктовые и овощные</t>
  </si>
  <si>
    <t>Услуги по вывозу ТБО; Услуги предприятий по транспортировке безопасных отходов</t>
  </si>
  <si>
    <t>3000 литров</t>
  </si>
  <si>
    <t>Оплата интернет услуг; Услуги связи Интернетом проводными сетями</t>
  </si>
  <si>
    <t>Заправка картриджа; Ремонт компьютеров и пери ферийного оборудования</t>
  </si>
  <si>
    <t>ТО огнетушителя ВП-6 (ОП-6); Ремонт и техническое обслуживание машин общего назначения</t>
  </si>
  <si>
    <t>Техническое обслуживание огнетушителей углекислотных ВВК-1,4 (ОУ-2) (Перезарядка); Ремонт и техническое обслуживание машин общего назначения</t>
  </si>
  <si>
    <t>Техническое обслуживание огнетушителей углекислотных ВВК-2(ОУ-3) (Перезарядка); Ремонт и техническое обслуживание машин общего назначения</t>
  </si>
  <si>
    <t>ТО огнетушителя ВП-5 (ОП-5); Ремонт и техническое обслуживание машин общего назначения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</si>
  <si>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Отдел образования администрации Новоазовского района в интиресах  МОУ "Седовская школа" администрации Новоазовского района</t>
  </si>
  <si>
    <t>Фотобумага глянцевая, 180 г/м2, А-4, 50 листов; Продукты химические, прочие, н. в. и. в.</t>
  </si>
  <si>
    <t>20.59.1; ДК 016:2010</t>
  </si>
  <si>
    <t>Ватман (А1); Изделия канцелярские, бумажные</t>
  </si>
  <si>
    <t>Клей ПВА (250 гр); Клеи</t>
  </si>
  <si>
    <t>Скотч 100*48; Изделия пластмассовые другие, н. в. и. в.</t>
  </si>
  <si>
    <t>Мел школьный 100 шт; Защитные головные уборы; ручки для письма и карандаши, доски, штемпели для датирования, опечатывания и нумерации; ленты к печатным машинкам, штемпельные подушечки</t>
  </si>
  <si>
    <t>Файл А4 (упаковка 100 шт.); Изделия пластмассовые другие, н. в. и. в.</t>
  </si>
  <si>
    <t>Скотч 15*25; Изделия пластмассовые другие, н. в. и. в.</t>
  </si>
  <si>
    <t>Скотч 48 х  200 м прозрачный; Изделия пластмассовые другие, н. в. и. в.</t>
  </si>
  <si>
    <t>Маркер; Защитные головные уборы; ручки для письма и карандаши, доски, штемпели для датирования, опечатывания и нумерации; ленты к печатным машинкам, штемпельные подушечки</t>
  </si>
  <si>
    <t>Мыло, средства моющие и средства для  чистки  (моющие средства, 5 л); Мыло, моющие средства и средства для чистки</t>
  </si>
  <si>
    <t>Средство чистящее для стекла (с распылителем, 1л); Мыло, моющие средства и средства для чистки</t>
  </si>
  <si>
    <t>Мыло хозяйственное (200 гр); Мыло, моющие средства и средства для чистки</t>
  </si>
  <si>
    <t>Веник сорго 6-ти прошивной; Метлы и щетки</t>
  </si>
  <si>
    <t>Ведро техническое, 11 л; Изделия пластмассовые другие, н. в. и. в</t>
  </si>
  <si>
    <t xml:space="preserve">Ведро пластиковое; Изделия пластмассовые другие, н. в. и. в </t>
  </si>
  <si>
    <t>Доска для разделки продуктов; Изделия из древесины, другие</t>
  </si>
  <si>
    <t>Пакет для мусора малый (35л); Изделия пластмассовые прочие, не включенные  в другие группировки</t>
  </si>
  <si>
    <t>Швабра деревянная; Изделия из древесины, другие</t>
  </si>
  <si>
    <t>Подводка гибкая для воды/Шланг для смесителя 1/2"  Гайка-Гайка,  0,8 м; Трубы, трубки и шланги из вулканизированной резины (кроме изготовленных из твердой резины)</t>
  </si>
  <si>
    <t>22.19.3; ДК 016:2010</t>
  </si>
  <si>
    <t>Веник хозяйственный синтетический с ручкой (Турция); Изделия пластмассовые другие, н. в. и. в</t>
  </si>
  <si>
    <t>Кран «Пиво» ½ латунь; Краны, вентили, клапаны и подобные изделия к трубам, котлов, резервуаров, цистерн и подобных изделий</t>
  </si>
  <si>
    <t>Скребок металлический для посуды; Изделия для ванн и кухни, металлические</t>
  </si>
  <si>
    <t>Перчатки хозяйственные латексные, смотровые, Dermagrip, XL, голубые; Предметы одежды и аксессуары одежды из вулканизированной резины (кроме изготовленных из твердой резины)</t>
  </si>
  <si>
    <t>Дверь балконная металлопластиковая; Изделия пластмассовые для строительства; линолеум и покрытия на пол, твердые, не пластиковые</t>
  </si>
  <si>
    <t>Блок оконный металлопластиковый; Изделия пластмассовые для строительства; линолеум и покрытия на пол, твердые, не пластиковые</t>
  </si>
  <si>
    <t xml:space="preserve">Пена монтажная на 700 мл; Краски и лаки, прочие, и связанная с ними продукция; красители художественные и полиграфическая краска </t>
  </si>
  <si>
    <t>Овощи консервированные (кабачки);Плоды и овощи, обработанные и консервированные, кроме картофеля ;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</si>
  <si>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"Новоазовская Школа №3" администрации Новоазовского района</t>
  </si>
  <si>
    <t>МОУ "Новоазовская школа № 3"</t>
  </si>
  <si>
    <t>юрид остаток</t>
  </si>
  <si>
    <t>Файл А-4(упаковка 100 штук);Изделия пластмассовые прочие,не включенные в другие</t>
  </si>
  <si>
    <t>Мыло, средство моющие и средства для чистки (моющее средство, 5 л.);Мыло, моющие средства и средства для чистки</t>
  </si>
  <si>
    <t>Смеситель Potato мойка,двуручный настенный; Краны, вентили, клапаны и аналогичная арматура для трубопроводов</t>
  </si>
  <si>
    <t>Разнос кухонный металлический 40х60 ;Изделия для ван и кухни металлические</t>
  </si>
  <si>
    <t>Половник(ложка разливная)0,36 литра из нержавеющей стали;Изделия для ван и кухни металлические</t>
  </si>
  <si>
    <t>Половник(ложка разливная)0,5 литра из нержавеющей стали;Изделия для ван и кухни металлические</t>
  </si>
  <si>
    <t>Ложка гарнирная перфор с пласт.ручкой;Изделия ножевые и столовые приборы</t>
  </si>
  <si>
    <t>Мел школьный,100 шт;Уборы головные защитные;ручки и карандаши,доски,печати,штемпели для датирования и т.д.</t>
  </si>
  <si>
    <t>Плита OSB-3 2500х1250х10мм;Производство фанеры,деревянных фанерованных панелей и аналогичных слоистых материалов,древесных плит из древесины и т.д.</t>
  </si>
  <si>
    <t>16.21.1;ДК 016:2010</t>
  </si>
  <si>
    <t xml:space="preserve">Субпродукты куринные;Субпродукты пищевые домашней птицы                           </t>
  </si>
  <si>
    <t>1500 литров</t>
  </si>
  <si>
    <t>Текущий ремонт электрической плиты; Ремонт и техническое обслуживание машин общего назначения</t>
  </si>
  <si>
    <t>Водоснабжение; Обработка и распределение воды по трубопроводам</t>
  </si>
  <si>
    <t xml:space="preserve"> (должность первого руководителя заказчика)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</si>
  <si>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Отдел образования администрации Новоазовского района в интиресах  МОУ "Новоазовская Школа №2" администрации Новоазовского района</t>
  </si>
  <si>
    <t>Скотч 48*200м прозрачный; Изделия пластмассовые прочие, н. в. д. г.</t>
  </si>
  <si>
    <t>Секатор с храповым механизмом; Инструменты ручные для использования в сельском хозяйстве, садоводстве или лесном хозяйстве</t>
  </si>
  <si>
    <t>Плоскогубцы 200 мм 1000 Вт; Инструмент электромеханический для работы одной рукой; инструмент ручной портативный с силовым механизированным/приводом, другой</t>
  </si>
  <si>
    <t>28.24.1; ДК 016:2010</t>
  </si>
  <si>
    <t>Бокорезы 160 мм на 1000 В; Инструменты ручные, прочие</t>
  </si>
  <si>
    <t>25.73.3; ДК 016:2010</t>
  </si>
  <si>
    <t>Саморез ГК 3,5х45 мм по дереву 1000 шт/1900 гр нефас; Изделия крепежные и винтонарезные</t>
  </si>
  <si>
    <t>Стол школьный (ученический), парта; Мебель, другая</t>
  </si>
  <si>
    <t>31.09.1; ДК 016:2010</t>
  </si>
  <si>
    <t xml:space="preserve">Стул; Мебель для сидения и ее комплектующие </t>
  </si>
  <si>
    <t>Краска водоэмульсионная;  Краски и лаки на основе полимеров</t>
  </si>
  <si>
    <t>Угол внутренний для пластиковых плинтусов; Трубы, трубки, шланги и фитинги к ним пластмассовые</t>
  </si>
  <si>
    <t>Угол наружный  для пластиковых плинтусов; Трубы, трубки, шланги и фитинги к ним пластмассовые</t>
  </si>
  <si>
    <t>Плинтус пластик; Изделия пластмассовые для строительства; линолеум и покрытия на пол, твердые, не пластиковые</t>
  </si>
  <si>
    <t>Соеденение для пластиковых плинтусов; Изделия пластмассовые для строительства; линолеум и покрытия на пол, твердые, не пластиковые</t>
  </si>
  <si>
    <t>Гипсовая шпаклевка для швов, 25кг; Цемент</t>
  </si>
  <si>
    <t>23.51.1; ДК 016:2010</t>
  </si>
  <si>
    <t>Планка стыковочная для линолеума 2,7 м;  Изделия пластмассовые для строительства; линолеум и покрытия на пол, твердые, не пластиковые</t>
  </si>
  <si>
    <t>Линолеум;  Изделия пластмассовые для строительства; линолеум и покрытия на пол, твердые, не пластиковые</t>
  </si>
  <si>
    <t>Плита ОSB-3 2500х1250х10 мм; Фанера клееная, фанерные панели и подобные изделия из слоистой древесины; плиты древесностружечные и подобные плиты из древесины или из других одеревеневших материалов</t>
  </si>
  <si>
    <t>16.21.1; ДК 016:2010</t>
  </si>
  <si>
    <t>Дюбель быстрого монтажа, бортик,"потай " 6х40 (100шт); Изделия крепежные и винтонарезные</t>
  </si>
  <si>
    <t>Саморезы по дереву - 60 мм; Изделия крепежные и винтонарезные</t>
  </si>
  <si>
    <t>Кисть плоская 100мм; Метлы и щетки</t>
  </si>
  <si>
    <t>Пена монтажная до 750 мл; Краски и лаки, прочие, и связанная с ними продукция; красители художественные и полиграфическая краска</t>
  </si>
  <si>
    <t>Подоконник пластиковый;  Изделия пластмассовые для строительства; линолеум и покрытия на пол, твердые, не пластиковые</t>
  </si>
  <si>
    <t>Овощи консервированные (огурцы);Плоды и овощи, обработанные и консервированные, кроме картофеля</t>
  </si>
  <si>
    <t>Услуги по подвозу питьевой воды;Перевозки грузов дорожными транспортными средствами</t>
  </si>
  <si>
    <t>6000 л.</t>
  </si>
  <si>
    <t>Водоотведение; Услуги канализационные</t>
  </si>
  <si>
    <t>37.00.1; ДК 016:2010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</si>
  <si>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Отдел образования администрации Новоазовского района в интересах  МОУ "Новоазовская Школа №1" администрации Новоазовского района</t>
  </si>
  <si>
    <t>остаток юрид</t>
  </si>
  <si>
    <t>Мел школьный 100 шт.; Защитные головные уборы; ручки для письма и карандаши, доски, штемпели для датирования, опечатывания и нумерации; ленты к печатным машинкам, штемпельные подушечки</t>
  </si>
  <si>
    <t>Дисперсия ПВА; Клеи</t>
  </si>
  <si>
    <t>1 кг</t>
  </si>
  <si>
    <t>Средства бытовой химии  (500г); Мыло, средства моющие и средства чистящие</t>
  </si>
  <si>
    <t>Мыло, средства моющие и средства для  чистки  (моющие средства для чистки, 5 л); Мыло, средства моющие и средства чистящие</t>
  </si>
  <si>
    <t>Ватман (А1) Изделия канцелярские, бумажные</t>
  </si>
  <si>
    <t xml:space="preserve">Стакан граненный стеклянный 250 гр; Посуда столовая и кухонная, прочие предметы бытового назначения и предметы из фарфора для туалетных комнат; </t>
  </si>
  <si>
    <t>кв. м.</t>
  </si>
  <si>
    <t>Крупа пшеничная Артек, ячневые; Крупы, крупка, гранулы и другие продукты из зерна зерновых культур;</t>
  </si>
  <si>
    <t>10.61.3ДК 016:2010</t>
  </si>
  <si>
    <t>Обучение по надежной и безопасной эксплуатации зданий и сооружений; Услуги просветительные, прочие, н.в.д.г.</t>
  </si>
  <si>
    <t>85.59.1; ДК 016:2010</t>
  </si>
  <si>
    <t>7500 л.</t>
  </si>
  <si>
    <t>Холодильник, объем камеры от 300-350 л (независмо от марки производителя); Холодильники и морозильники; машины стиральные; электроодеяла; вентиляторы</t>
  </si>
  <si>
    <t>27.51.1; ДК 016:2010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</si>
  <si>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Отдел образования администрации Новоазовского района в интересах  МУДО "ТЭЦ "ЭДЕЛЬВЕЙС" администрации Новоазовского района</t>
  </si>
  <si>
    <t>общий фонд местного бюджета, КФКР 070401, КЭКР 2210</t>
  </si>
  <si>
    <t>Грамота, благодарственное письмо; Изделия канцелярские, бумажные</t>
  </si>
  <si>
    <t>Мыло, средства моющие и чистящие (5л.); Мыло, моющие средства и средства для чистки</t>
  </si>
  <si>
    <t>Средства бытовой химии (500 г);Мыло, моющие средства и средства для чистки</t>
  </si>
  <si>
    <t>Гуашь 6 цветов; Краски и лаки, прочие, и связанная с ними продукция; красители художественные и полиграфическая краска</t>
  </si>
  <si>
    <t>Папка с файлами 100 л пластиковая; Изделия пластмассовые прочие, н. в. д. г.</t>
  </si>
  <si>
    <t>Бумага - картон А-4 160 г/м, 250 л; Бумага газетная, бумага ручного изготовления и другая немелованная бумага, или картон для графических целей</t>
  </si>
  <si>
    <t>17.12.1; ДК 016:2010</t>
  </si>
  <si>
    <t>ИТОГО ПО 070401, 2210</t>
  </si>
  <si>
    <t>общий фонд местного бюджета, КФКР 070401, КЭКР 2240</t>
  </si>
  <si>
    <t>ТО газового оборудования; Услуги инженерные</t>
  </si>
  <si>
    <t>71.12.1; ДК 016:2010</t>
  </si>
  <si>
    <t>ИТОГО ПО 070401, 2240</t>
  </si>
  <si>
    <t>общий фонд местного бюджета, КФКР 070401, КЭКР 2273</t>
  </si>
  <si>
    <t>ИТОГО ПО 070401, 2273</t>
  </si>
  <si>
    <t>Оплата природного газа; Распределение газообразного топлива по трубопроводам</t>
  </si>
  <si>
    <t xml:space="preserve">35.22.1; ДК 016:2010 </t>
  </si>
  <si>
    <t>общий фонд местного бюджета, КФКР 070401, КЭКР 2274</t>
  </si>
  <si>
    <t>ИТОГО ПО 070401, 2274</t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</si>
  <si>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Отдел образования администрации Новоазовского района в интересах  МУДО "Новоазовский ЦВО" администрации Новоазовского района</t>
  </si>
  <si>
    <t>Клей ПВА 250 г; Клеи</t>
  </si>
  <si>
    <t>Средства бытовой химии (500 г); Мыло, средства моющие и средства чистящие</t>
  </si>
  <si>
    <t>Бумага-картон А-4 160 г/м, 250 л; Бумага газетная, бумага ручного изготовления и другая немелованная бумага, или картон для графических целей</t>
  </si>
  <si>
    <t>Кисти художественные; Метлы и щетки</t>
  </si>
  <si>
    <t>Перчатки хозяйственные латексные, смотровые, Dermagrip, XL,голубые; Предметы одежды и аксессуары одежды из вулканизированной резины (кроме изготовленных из твердой резины)</t>
  </si>
  <si>
    <t>Грамота.Благодарственное письмо; Изделия канцелярские, бумажные</t>
  </si>
  <si>
    <t>Бумага А-4 (500л); Изделия канцелярские, бумажные</t>
  </si>
  <si>
    <t>Кнопки-гвоздики пластмассовые (столбики), 30 штук; Изделия из провода, цепи и пружины</t>
  </si>
  <si>
    <t>25.93.1; ДК 016:2010</t>
  </si>
  <si>
    <t>Ножницы детские; Изделия ножовые и столовые приборы</t>
  </si>
  <si>
    <t>оющий фонд местного бюджета, КФКР 070401, КЭКР 2210</t>
  </si>
  <si>
    <t>Замок накладной; Замки и петли</t>
  </si>
  <si>
    <t>Навесной замок; Замки и петли</t>
  </si>
  <si>
    <t>Замок врезной с ручкой; Замки и петли</t>
  </si>
  <si>
    <t>Щетка Макловица (большая); Метлы и щетки</t>
  </si>
  <si>
    <t>Скоба под навесной замок, гнутая, цинк, 30*70; Изделия из недрагоценных металлов, прочие</t>
  </si>
  <si>
    <t>25.99.2; ДК 016:2010</t>
  </si>
  <si>
    <t>Ножницы садовые; Инструменты ручные для использования в сельском хозяйстве, садоводстве или лесном хозяйстве</t>
  </si>
  <si>
    <t>Пенопласт потолочный 50*50 см; Изделия огнеупорные</t>
  </si>
  <si>
    <t>23.20.1; ДК 016:2010</t>
  </si>
  <si>
    <t>Грунтовка глубокопроникающая; Краски и лаки, прочие, и связанная с ними продукция, красители художественные и полиграфическая краска</t>
  </si>
  <si>
    <t>общий фонд местного бюджета, КФКР 070401, КЭКР 2271</t>
  </si>
  <si>
    <t>Гкал</t>
  </si>
  <si>
    <t>ИТОГО ПО 070401, 2271</t>
  </si>
  <si>
    <t>общий фонд местного бюджета, КФКР 070401, КЭКР 2272</t>
  </si>
  <si>
    <t>ИТОГО ПО 070401, 2272</t>
  </si>
  <si>
    <t xml:space="preserve">Выписка из утвержденного сводного плана закупок, которые осуществляются без проведения процедур закупок, на бюджетный период октябрь-декабрь 2018 года </t>
  </si>
  <si>
    <t xml:space="preserve">Отдел образования администрации Новоазовского района </t>
  </si>
  <si>
    <t>Дизельное топливо; Топливо жидкостное и газ; масла смазочные</t>
  </si>
  <si>
    <t>19.20.2; ДК 016:2010</t>
  </si>
  <si>
    <t>общий фонд местного бюджета, КФКР 070805, КЭКР 2210</t>
  </si>
  <si>
    <t>Бензин А-92 (АИ-92); Топливо жидкостное и газ; масла смазочные</t>
  </si>
  <si>
    <t>Папка - регистратор 7 см; Изделия пластмассовые прочие, не включенные  в другие группировки</t>
  </si>
  <si>
    <t>Зажим для бумаги; Изделия из недрагоценных металлов, прочие</t>
  </si>
  <si>
    <t>Нитки для сшивания документов (бобина); Волокна синтетические</t>
  </si>
  <si>
    <t>20.60.1; ДК 016:2010</t>
  </si>
  <si>
    <t>Фонарик переносной аккумуляторный; Лампы и светильники</t>
  </si>
  <si>
    <t>27.40.2; ДК 016:2010</t>
  </si>
  <si>
    <t>Лампа накаливания 100 Вт Е27; Лампы накаливания и газорозрядные электрические, лампы дуговые</t>
  </si>
  <si>
    <t>Рулевая тяга БАЗ А079.13; Части и принадлежности к моторным транспортным средствам</t>
  </si>
  <si>
    <t>29.32.3; ДК 016:2010</t>
  </si>
  <si>
    <t>Амортизатор телескопический БАЗ А079.13; Части и принадлежности к моторным транспортным средствам</t>
  </si>
  <si>
    <t>Резинка стабилизаторной тяги БАЗ А079.13; Изделия пластмассовые прочие, н. в. д. г.</t>
  </si>
  <si>
    <t>Сальник клапанов ГАЗ-53З; Части и принадлежности к моторным транспортным средствам</t>
  </si>
  <si>
    <t>комплект</t>
  </si>
  <si>
    <t>Комплект прокладок на двигатель ГАЗ-53; Части и принадлежности к моторным транспортным средствам</t>
  </si>
  <si>
    <t>ИТОГО ПО 070805, 2210</t>
  </si>
  <si>
    <t>общий фонд местного бюджета, КФКР 070805, КЭКР 2240</t>
  </si>
  <si>
    <t>0,5% от суммы ожидаемой налички</t>
  </si>
  <si>
    <t>Обучение по охране труда на автотранспорте; Услуги просветительные, прочие, н.в.д.г.</t>
  </si>
  <si>
    <t>ИТОГО ПО 070805, 2240</t>
  </si>
  <si>
    <t>общий фонд местного бюджета, КФКР 070805, КЭКР 2271</t>
  </si>
  <si>
    <t>ИТОГО ПО 070805, 2271</t>
  </si>
  <si>
    <t>общий фонд местного бюджета, КФКР 070805, КЭКР 2272</t>
  </si>
  <si>
    <t>ИТОГО ПО 070805, 2272</t>
  </si>
  <si>
    <t>общий фонд местного бюджета, КФКР 070805, КЭКР 2273</t>
  </si>
  <si>
    <t>ИТОГО ПО 070805, 2273</t>
  </si>
  <si>
    <t>общий фонд местного бюджета, КФКР 070804, КЭКР 2210</t>
  </si>
  <si>
    <t>Подоконник пластиковый; Изделия пластмассовые для строительства; линолеум и покрытия на пол, твердые, не пластиковые</t>
  </si>
  <si>
    <t>ИТОГО ПО 070804, 2210</t>
  </si>
  <si>
    <t>общий фонд местного бюджета, КФКР 070804, КЭКР 2240</t>
  </si>
  <si>
    <t>Техническое обслуживание оборудования и программного обеспечения IASFIN; Услуги по консультированию относительно систем и программного обеспечения</t>
  </si>
  <si>
    <t>62.02.2; ДК 016:2010</t>
  </si>
  <si>
    <t>ИТОГО ПО 070804, 2240</t>
  </si>
  <si>
    <t>общий фонд местного бюджета, КФКР 070804, КЭКР 2271</t>
  </si>
  <si>
    <t>ИТОГО ПО 070804, 2271</t>
  </si>
  <si>
    <t>общий фонд местного бюджета, КФКР 070804, КЭКР 2272</t>
  </si>
  <si>
    <t>ИТОГО ПО 070804, 2272</t>
  </si>
  <si>
    <t>общий фонд местного бюджета, КФКР 070804, КЭКР 2273</t>
  </si>
  <si>
    <t>ИТОГО ПО 070804, 2273</t>
  </si>
  <si>
    <t>УТВЕРЖДЕНО</t>
  </si>
  <si>
    <t>приказом Министерства экономического</t>
  </si>
  <si>
    <t>развития</t>
  </si>
  <si>
    <t>Донецкой Народной Республики</t>
  </si>
  <si>
    <t>от 15 сентября 2016 г. № 98</t>
  </si>
  <si>
    <t xml:space="preserve">                   Сводный план закупок, которые осуществляются без проведения </t>
  </si>
  <si>
    <r>
      <t>процедур закупок, на бюджетный период октябрь-декабрь 2018</t>
    </r>
    <r>
      <rPr>
        <b/>
        <sz val="11"/>
        <color indexed="8"/>
        <rFont val="Times New Roman"/>
        <family val="1"/>
      </rPr>
      <t xml:space="preserve"> года</t>
    </r>
  </si>
  <si>
    <t xml:space="preserve">                    (указать бюджетный период)</t>
  </si>
  <si>
    <t>общий фонд местного бюджета, КФКР 070802, КЭКР 2210</t>
  </si>
  <si>
    <t>ИТОГО ПО 070802, 2210</t>
  </si>
  <si>
    <t>общий фонд местного бюджета, КФКР 070802, КЭКР 2240</t>
  </si>
  <si>
    <t>Ремонт оргтехники; Ремонт компьютеров и периферийного оборудования</t>
  </si>
  <si>
    <t>Аренда помещения; Услуги по аренде и эксплуатации собственной или взятой в лизинг недвижимости</t>
  </si>
  <si>
    <t>1 год</t>
  </si>
  <si>
    <t>ИТОГО ПО 070802, 2240</t>
  </si>
  <si>
    <t>общий фонд местного бюджета, КФКР 070802, КЭКР 2271</t>
  </si>
  <si>
    <t>ИТОГО ПО 070802, 2271</t>
  </si>
  <si>
    <t>общий фонд местного бюджета, КФКР 070802, КЭКР 2272</t>
  </si>
  <si>
    <t>Водоотведение; Услуги канализационных систем</t>
  </si>
  <si>
    <t>ИТОГО ПО 070802, 2272</t>
  </si>
  <si>
    <t>общий фонд местного бюджета, КФКР 070802, КЭКР 2273</t>
  </si>
  <si>
    <t>ИТОГО ПО 070802, 2273</t>
  </si>
  <si>
    <t>Папка - регистратор 5 см; Изделия пластмассовые прочие, не включенные  в другие группировки</t>
  </si>
  <si>
    <t>общий фонд местного бюджета, КФКР 010116, КЭКР 2210</t>
  </si>
  <si>
    <t>Грамота. Благодарственное письмо; Изделия канцелярские, бумажные</t>
  </si>
  <si>
    <t>ИТОГО ПО 010116, 2210</t>
  </si>
  <si>
    <t>общий фонд местного бюджета, КФКР 010116, КЭКР 2240</t>
  </si>
  <si>
    <t>ИТОГО ПО 010116, 2240</t>
  </si>
  <si>
    <t>общий фонд местного бюджета, КФКР 010116, КЭКР 2271</t>
  </si>
  <si>
    <t>ИТОГО ПО 010116, 2271</t>
  </si>
  <si>
    <t>общий фонд местного бюджета, КФКР 010116, КЭКР 2272</t>
  </si>
  <si>
    <t>ИТОГО ПО 010116, 2272</t>
  </si>
  <si>
    <t>общий фонд местного бюджета, КФКР 010116, КЭКР 2273</t>
  </si>
  <si>
    <t>ИТОГО ПО 010116, 2273</t>
  </si>
  <si>
    <t>Бумага-картон А-4 160 г/м, 250 л; Бумага и картон ручного изготовления</t>
  </si>
  <si>
    <t>Маркер; Ручки и маркеры с наконечником из войлока и другого пористого материала</t>
  </si>
  <si>
    <t>МУДО "ТЭЦ "Эдельвейс"</t>
  </si>
  <si>
    <t>МОУ "Новоазовская школа №1"</t>
  </si>
  <si>
    <t>Отдельные порционные части куринные(четверти);Мясо домашней птицы,замороженное</t>
  </si>
  <si>
    <t>10.12.2; ДК 016:2010</t>
  </si>
  <si>
    <t>Филе куринное;Мясо домашней птицы,свежее или охлажденное</t>
  </si>
  <si>
    <t>10.12.1; ДК 016:2010</t>
  </si>
  <si>
    <t>Холодильник, объем камеры от 350-400 л (независмо от марки производителя); Холодильники и морозильники; машины стиральные; электроодеяла; вентиляторы</t>
  </si>
  <si>
    <t>МОУ "Новоазовская школа № 2"</t>
  </si>
  <si>
    <t>МОУ "Седовская школа"</t>
  </si>
  <si>
    <t>Подоконник  пластиковый; Изделия пластмассовые для строительства; линолеум и покрытия на пол, твердые, не пластиковые</t>
  </si>
  <si>
    <t>Отлив белый оцинкованный с полимерным покрытием 150 мм; Изделия конструкционные металлические и их части</t>
  </si>
  <si>
    <t>пог.м</t>
  </si>
  <si>
    <t>МОУ "Безыменская школа"</t>
  </si>
  <si>
    <t>МОУ "Митьково-Качкарская школа"</t>
  </si>
  <si>
    <t>МОУ "Саханская школа"</t>
  </si>
  <si>
    <t>МОУ "Приморская школа"</t>
  </si>
  <si>
    <t>МОУ "Красноармейская школа"</t>
  </si>
  <si>
    <t>МОУ "Челюскинская школа"</t>
  </si>
  <si>
    <t xml:space="preserve">86.10.1; ДК 016:2010 </t>
  </si>
  <si>
    <t>МОУ "Хомутовская школа"</t>
  </si>
  <si>
    <t>МОУ "Самойловская школа"</t>
  </si>
  <si>
    <t>Блок оконный металлопластиковый; Изделия пластиковые для строительства, линолеум и покрытие для пола, тв. не пластиковые</t>
  </si>
  <si>
    <t>Всего по плану закупок</t>
  </si>
  <si>
    <t>МУДО "Новоазовский ЦВО"</t>
  </si>
  <si>
    <t>Форма №21</t>
  </si>
  <si>
    <r>
      <t xml:space="preserve">Источник финансирования </t>
    </r>
    <r>
      <rPr>
        <sz val="10"/>
        <color indexed="8"/>
        <rFont val="Times New Roman"/>
        <family val="1"/>
      </rPr>
      <t>(название бюджета и фонда, коды функциональной и экономической классификации расходов (</t>
    </r>
    <r>
      <rPr>
        <i/>
        <sz val="10"/>
        <color indexed="8"/>
        <rFont val="Times New Roman"/>
        <family val="1"/>
      </rPr>
      <t>КФКР и КЭКР)</t>
    </r>
    <r>
      <rPr>
        <sz val="10"/>
        <color indexed="8"/>
        <rFont val="Times New Roman"/>
        <family val="1"/>
      </rPr>
      <t xml:space="preserve"> </t>
    </r>
  </si>
  <si>
    <r>
      <t xml:space="preserve">Ожидаемая стоимость предмета закупки </t>
    </r>
    <r>
      <rPr>
        <i/>
        <sz val="10"/>
        <color indexed="8"/>
        <rFont val="Times New Roman"/>
        <family val="1"/>
      </rPr>
      <t>(в рос.рублях)</t>
    </r>
  </si>
  <si>
    <r>
      <t xml:space="preserve">Ориентировочное начало закупки </t>
    </r>
    <r>
      <rPr>
        <i/>
        <sz val="10"/>
        <color indexed="8"/>
        <rFont val="Times New Roman"/>
        <family val="1"/>
      </rPr>
      <t>(месяц)</t>
    </r>
  </si>
  <si>
    <t>Выписка из утвержденного сводного плана закупок, которые осуществляются без проведения процедур закупок, на бюджетный период октябрь-декабрь 2018 года                                                     Отдел образования администрации Новоазовского района в интиресах  МОУ "Седовская школа" администрации Новоазовского района</t>
  </si>
  <si>
    <t>м.п.</t>
  </si>
  <si>
    <t>Председатель комитета по конкурсным закупкам</t>
  </si>
  <si>
    <t>Ф.И.О.</t>
  </si>
  <si>
    <t>Согласовано: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</si>
</sst>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.00\ _₽_-;\-* #,##0.00\ _₽_-;_-* &quot;-&quot;??\ _₽_-;_-@_-"/>
    <numFmt numFmtId="178" formatCode="_-* #,##0.00\ &quot;₽&quot;_-;\-* #,##0.00\ &quot;₽&quot;_-;_-* &quot;-&quot;??\ &quot;₽&quot;_-;_-@_-"/>
    <numFmt numFmtId="179" formatCode="_-* #,##0\ _₽_-;\-* #,##0\ _₽_-;_-* &quot;-&quot;\ _₽_-;_-@_-"/>
    <numFmt numFmtId="180" formatCode="0.000"/>
    <numFmt numFmtId="181" formatCode="0.0"/>
    <numFmt numFmtId="182" formatCode="0.0000"/>
  </numFmts>
  <fonts count="85">
    <font>
      <sz val="11"/>
      <color theme="1"/>
      <name val="Calibri"/>
      <family val="2"/>
    </font>
    <font>
      <sz val="11"/>
      <name val="Calibri"/>
      <family val="2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1"/>
      <color rgb="FF333333"/>
      <name val="Times New Roman"/>
      <family val="1"/>
    </font>
    <font>
      <b/>
      <u val="single"/>
      <sz val="1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/>
      <bottom style="medium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0" fontId="34" fillId="0" borderId="0">
      <alignment/>
      <protection/>
    </xf>
    <xf numFmtId="0" fontId="0" fillId="3" borderId="0" applyNumberFormat="0" applyBorder="0" applyAlignment="0" applyProtection="0"/>
    <xf numFmtId="0" fontId="47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48" fillId="0" borderId="1" applyNumberFormat="0" applyFill="0" applyAlignment="0" applyProtection="0"/>
    <xf numFmtId="0" fontId="49" fillId="7" borderId="2" applyNumberFormat="0" applyAlignment="0" applyProtection="0"/>
    <xf numFmtId="0" fontId="5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7" applyNumberFormat="0" applyAlignment="0" applyProtection="0"/>
    <xf numFmtId="0" fontId="59" fillId="11" borderId="8" applyNumberFormat="0" applyAlignment="0" applyProtection="0"/>
    <xf numFmtId="0" fontId="60" fillId="7" borderId="7" applyNumberFormat="0" applyAlignment="0" applyProtection="0"/>
    <xf numFmtId="0" fontId="61" fillId="0" borderId="9" applyNumberFormat="0" applyFill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0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0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0" fillId="0" borderId="0">
      <alignment/>
      <protection/>
    </xf>
    <xf numFmtId="177" fontId="33" fillId="0" borderId="0" applyFont="0" applyFill="0" applyBorder="0" applyAlignment="0" applyProtection="0"/>
  </cellStyleXfs>
  <cellXfs count="381">
    <xf numFmtId="0" fontId="0" fillId="0" borderId="0" xfId="0" applyFont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vertical="center"/>
    </xf>
    <xf numFmtId="0" fontId="67" fillId="33" borderId="0" xfId="0" applyFont="1" applyFill="1" applyAlignment="1">
      <alignment/>
    </xf>
    <xf numFmtId="0" fontId="67" fillId="33" borderId="0" xfId="0" applyFont="1" applyFill="1" applyAlignment="1">
      <alignment horizontal="left"/>
    </xf>
    <xf numFmtId="0" fontId="68" fillId="33" borderId="0" xfId="0" applyFont="1" applyFill="1" applyAlignment="1">
      <alignment/>
    </xf>
    <xf numFmtId="0" fontId="67" fillId="33" borderId="0" xfId="0" applyFont="1" applyFill="1" applyBorder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7" fillId="33" borderId="0" xfId="0" applyFont="1" applyFill="1" applyAlignment="1">
      <alignment horizontal="right"/>
    </xf>
    <xf numFmtId="0" fontId="67" fillId="33" borderId="0" xfId="0" applyFont="1" applyFill="1" applyAlignment="1">
      <alignment horizontal="center" wrapText="1"/>
    </xf>
    <xf numFmtId="0" fontId="67" fillId="33" borderId="0" xfId="0" applyFont="1" applyFill="1" applyBorder="1" applyAlignment="1">
      <alignment horizontal="right"/>
    </xf>
    <xf numFmtId="0" fontId="66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0" fontId="69" fillId="33" borderId="0" xfId="0" applyFont="1" applyFill="1" applyAlignment="1">
      <alignment/>
    </xf>
    <xf numFmtId="0" fontId="67" fillId="33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 wrapText="1"/>
    </xf>
    <xf numFmtId="0" fontId="72" fillId="33" borderId="0" xfId="0" applyFont="1" applyFill="1" applyBorder="1" applyAlignment="1">
      <alignment horizontal="center" wrapText="1"/>
    </xf>
    <xf numFmtId="0" fontId="73" fillId="33" borderId="0" xfId="0" applyFont="1" applyFill="1" applyBorder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0" fontId="74" fillId="33" borderId="0" xfId="0" applyFont="1" applyFill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/>
    </xf>
    <xf numFmtId="0" fontId="67" fillId="33" borderId="18" xfId="0" applyFont="1" applyFill="1" applyBorder="1" applyAlignment="1">
      <alignment wrapText="1"/>
    </xf>
    <xf numFmtId="0" fontId="67" fillId="33" borderId="17" xfId="0" applyFont="1" applyFill="1" applyBorder="1" applyAlignment="1">
      <alignment horizontal="left" vertical="center" wrapText="1"/>
    </xf>
    <xf numFmtId="0" fontId="67" fillId="33" borderId="17" xfId="0" applyFont="1" applyFill="1" applyBorder="1" applyAlignment="1">
      <alignment wrapText="1"/>
    </xf>
    <xf numFmtId="0" fontId="67" fillId="33" borderId="17" xfId="0" applyFont="1" applyFill="1" applyBorder="1" applyAlignment="1">
      <alignment horizontal="center" wrapText="1"/>
    </xf>
    <xf numFmtId="2" fontId="67" fillId="33" borderId="17" xfId="0" applyNumberFormat="1" applyFont="1" applyFill="1" applyBorder="1" applyAlignment="1">
      <alignment horizontal="right" wrapText="1"/>
    </xf>
    <xf numFmtId="0" fontId="67" fillId="33" borderId="14" xfId="0" applyFont="1" applyFill="1" applyBorder="1" applyAlignment="1">
      <alignment horizontal="left" vertical="center" wrapText="1"/>
    </xf>
    <xf numFmtId="0" fontId="66" fillId="33" borderId="17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wrapText="1"/>
    </xf>
    <xf numFmtId="0" fontId="66" fillId="33" borderId="17" xfId="0" applyFont="1" applyFill="1" applyBorder="1" applyAlignment="1">
      <alignment wrapText="1"/>
    </xf>
    <xf numFmtId="0" fontId="66" fillId="33" borderId="17" xfId="0" applyFont="1" applyFill="1" applyBorder="1" applyAlignment="1">
      <alignment horizontal="center" wrapText="1"/>
    </xf>
    <xf numFmtId="0" fontId="66" fillId="33" borderId="17" xfId="0" applyFont="1" applyFill="1" applyBorder="1" applyAlignment="1">
      <alignment/>
    </xf>
    <xf numFmtId="0" fontId="67" fillId="33" borderId="18" xfId="0" applyFont="1" applyFill="1" applyBorder="1" applyAlignment="1">
      <alignment horizontal="center" wrapText="1"/>
    </xf>
    <xf numFmtId="0" fontId="67" fillId="33" borderId="17" xfId="0" applyFont="1" applyFill="1" applyBorder="1" applyAlignment="1">
      <alignment/>
    </xf>
    <xf numFmtId="0" fontId="75" fillId="33" borderId="17" xfId="0" applyFont="1" applyFill="1" applyBorder="1" applyAlignment="1">
      <alignment wrapText="1"/>
    </xf>
    <xf numFmtId="2" fontId="67" fillId="33" borderId="17" xfId="0" applyNumberFormat="1" applyFont="1" applyFill="1" applyBorder="1" applyAlignment="1">
      <alignment horizontal="center" wrapText="1"/>
    </xf>
    <xf numFmtId="49" fontId="67" fillId="33" borderId="17" xfId="0" applyNumberFormat="1" applyFont="1" applyFill="1" applyBorder="1" applyAlignment="1">
      <alignment wrapText="1"/>
    </xf>
    <xf numFmtId="49" fontId="67" fillId="33" borderId="17" xfId="0" applyNumberFormat="1" applyFont="1" applyFill="1" applyBorder="1" applyAlignment="1">
      <alignment/>
    </xf>
    <xf numFmtId="1" fontId="67" fillId="33" borderId="17" xfId="0" applyNumberFormat="1" applyFont="1" applyFill="1" applyBorder="1" applyAlignment="1">
      <alignment horizontal="center" wrapText="1"/>
    </xf>
    <xf numFmtId="0" fontId="66" fillId="33" borderId="19" xfId="0" applyFont="1" applyFill="1" applyBorder="1" applyAlignment="1">
      <alignment horizontal="center"/>
    </xf>
    <xf numFmtId="0" fontId="66" fillId="33" borderId="18" xfId="0" applyFont="1" applyFill="1" applyBorder="1" applyAlignment="1">
      <alignment horizontal="center"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 horizontal="center"/>
    </xf>
    <xf numFmtId="0" fontId="78" fillId="33" borderId="0" xfId="0" applyFont="1" applyFill="1" applyAlignment="1">
      <alignment horizontal="center"/>
    </xf>
    <xf numFmtId="0" fontId="79" fillId="33" borderId="0" xfId="0" applyFont="1" applyFill="1" applyAlignment="1">
      <alignment horizontal="right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right"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right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right" vertical="center" wrapText="1"/>
    </xf>
    <xf numFmtId="180" fontId="67" fillId="33" borderId="17" xfId="0" applyNumberFormat="1" applyFont="1" applyFill="1" applyBorder="1" applyAlignment="1">
      <alignment horizontal="center" wrapText="1"/>
    </xf>
    <xf numFmtId="0" fontId="69" fillId="33" borderId="0" xfId="0" applyFont="1" applyFill="1" applyBorder="1" applyAlignment="1">
      <alignment horizontal="center" vertical="center" textRotation="90" wrapText="1"/>
    </xf>
    <xf numFmtId="0" fontId="67" fillId="33" borderId="0" xfId="0" applyFont="1" applyFill="1" applyAlignment="1">
      <alignment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textRotation="90" wrapText="1"/>
    </xf>
    <xf numFmtId="2" fontId="67" fillId="33" borderId="0" xfId="0" applyNumberFormat="1" applyFont="1" applyFill="1" applyAlignment="1">
      <alignment/>
    </xf>
    <xf numFmtId="2" fontId="66" fillId="33" borderId="0" xfId="0" applyNumberFormat="1" applyFont="1" applyFill="1" applyAlignment="1">
      <alignment/>
    </xf>
    <xf numFmtId="0" fontId="80" fillId="33" borderId="17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textRotation="90" wrapText="1"/>
    </xf>
    <xf numFmtId="0" fontId="72" fillId="33" borderId="19" xfId="0" applyFont="1" applyFill="1" applyBorder="1" applyAlignment="1">
      <alignment horizontal="center"/>
    </xf>
    <xf numFmtId="0" fontId="72" fillId="33" borderId="18" xfId="0" applyFont="1" applyFill="1" applyBorder="1" applyAlignment="1">
      <alignment horizontal="center"/>
    </xf>
    <xf numFmtId="0" fontId="72" fillId="33" borderId="17" xfId="0" applyFont="1" applyFill="1" applyBorder="1" applyAlignment="1">
      <alignment wrapText="1"/>
    </xf>
    <xf numFmtId="2" fontId="68" fillId="33" borderId="17" xfId="0" applyNumberFormat="1" applyFont="1" applyFill="1" applyBorder="1" applyAlignment="1">
      <alignment horizontal="right" wrapText="1"/>
    </xf>
    <xf numFmtId="0" fontId="72" fillId="33" borderId="17" xfId="0" applyFont="1" applyFill="1" applyBorder="1" applyAlignment="1">
      <alignment/>
    </xf>
    <xf numFmtId="0" fontId="67" fillId="33" borderId="10" xfId="0" applyFont="1" applyFill="1" applyBorder="1" applyAlignment="1">
      <alignment horizontal="center" wrapText="1"/>
    </xf>
    <xf numFmtId="0" fontId="67" fillId="33" borderId="12" xfId="0" applyFont="1" applyFill="1" applyBorder="1" applyAlignment="1">
      <alignment horizontal="center" wrapText="1"/>
    </xf>
    <xf numFmtId="0" fontId="67" fillId="33" borderId="14" xfId="0" applyFont="1" applyFill="1" applyBorder="1" applyAlignment="1">
      <alignment horizontal="center" wrapText="1"/>
    </xf>
    <xf numFmtId="0" fontId="66" fillId="33" borderId="20" xfId="0" applyFont="1" applyFill="1" applyBorder="1" applyAlignment="1">
      <alignment horizontal="center" wrapText="1"/>
    </xf>
    <xf numFmtId="0" fontId="67" fillId="33" borderId="18" xfId="0" applyFont="1" applyFill="1" applyBorder="1" applyAlignment="1">
      <alignment vertical="center" wrapText="1"/>
    </xf>
    <xf numFmtId="0" fontId="67" fillId="33" borderId="17" xfId="0" applyFont="1" applyFill="1" applyBorder="1" applyAlignment="1">
      <alignment vertical="center" wrapText="1"/>
    </xf>
    <xf numFmtId="0" fontId="72" fillId="33" borderId="2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justify"/>
    </xf>
    <xf numFmtId="0" fontId="18" fillId="33" borderId="17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 applyProtection="1">
      <alignment wrapText="1"/>
      <protection locked="0"/>
    </xf>
    <xf numFmtId="0" fontId="4" fillId="33" borderId="1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 applyProtection="1">
      <alignment horizontal="left" wrapText="1"/>
      <protection locked="0"/>
    </xf>
    <xf numFmtId="0" fontId="18" fillId="33" borderId="18" xfId="0" applyFont="1" applyFill="1" applyBorder="1" applyAlignment="1">
      <alignment wrapText="1"/>
    </xf>
    <xf numFmtId="0" fontId="18" fillId="33" borderId="17" xfId="0" applyFont="1" applyFill="1" applyBorder="1" applyAlignment="1">
      <alignment wrapText="1"/>
    </xf>
    <xf numFmtId="0" fontId="67" fillId="33" borderId="12" xfId="0" applyFont="1" applyFill="1" applyBorder="1" applyAlignment="1">
      <alignment horizontal="center" vertical="center" textRotation="90" wrapText="1"/>
    </xf>
    <xf numFmtId="0" fontId="67" fillId="33" borderId="14" xfId="0" applyFont="1" applyFill="1" applyBorder="1" applyAlignment="1">
      <alignment horizontal="center" vertical="center" textRotation="90" wrapText="1"/>
    </xf>
    <xf numFmtId="0" fontId="67" fillId="33" borderId="16" xfId="0" applyFont="1" applyFill="1" applyBorder="1" applyAlignment="1">
      <alignment horizontal="center"/>
    </xf>
    <xf numFmtId="0" fontId="69" fillId="33" borderId="0" xfId="0" applyFont="1" applyFill="1" applyAlignment="1">
      <alignment horizontal="left" vertical="center"/>
    </xf>
    <xf numFmtId="2" fontId="67" fillId="33" borderId="16" xfId="0" applyNumberFormat="1" applyFont="1" applyFill="1" applyBorder="1" applyAlignment="1">
      <alignment horizontal="right" wrapText="1"/>
    </xf>
    <xf numFmtId="0" fontId="67" fillId="33" borderId="16" xfId="0" applyFont="1" applyFill="1" applyBorder="1" applyAlignment="1">
      <alignment/>
    </xf>
    <xf numFmtId="0" fontId="73" fillId="33" borderId="0" xfId="0" applyFont="1" applyFill="1" applyAlignment="1">
      <alignment vertical="center" wrapText="1"/>
    </xf>
    <xf numFmtId="0" fontId="73" fillId="33" borderId="0" xfId="0" applyFont="1" applyFill="1" applyAlignment="1">
      <alignment vertical="center"/>
    </xf>
    <xf numFmtId="0" fontId="73" fillId="33" borderId="22" xfId="0" applyFont="1" applyFill="1" applyBorder="1" applyAlignment="1">
      <alignment horizontal="center"/>
    </xf>
    <xf numFmtId="0" fontId="69" fillId="33" borderId="22" xfId="0" applyFont="1" applyFill="1" applyBorder="1" applyAlignment="1">
      <alignment horizontal="center"/>
    </xf>
    <xf numFmtId="2" fontId="67" fillId="33" borderId="0" xfId="0" applyNumberFormat="1" applyFont="1" applyFill="1" applyBorder="1" applyAlignment="1">
      <alignment horizontal="right" wrapText="1"/>
    </xf>
    <xf numFmtId="0" fontId="69" fillId="33" borderId="0" xfId="0" applyFont="1" applyFill="1" applyAlignment="1">
      <alignment wrapText="1"/>
    </xf>
    <xf numFmtId="0" fontId="69" fillId="33" borderId="0" xfId="0" applyFont="1" applyFill="1" applyBorder="1" applyAlignment="1">
      <alignment vertical="top"/>
    </xf>
    <xf numFmtId="0" fontId="73" fillId="33" borderId="0" xfId="0" applyFont="1" applyFill="1" applyBorder="1" applyAlignment="1">
      <alignment vertical="top"/>
    </xf>
    <xf numFmtId="0" fontId="69" fillId="33" borderId="0" xfId="0" applyFont="1" applyFill="1" applyBorder="1" applyAlignment="1">
      <alignment/>
    </xf>
    <xf numFmtId="0" fontId="73" fillId="33" borderId="0" xfId="0" applyFont="1" applyFill="1" applyAlignment="1">
      <alignment wrapText="1"/>
    </xf>
    <xf numFmtId="0" fontId="73" fillId="33" borderId="0" xfId="0" applyFont="1" applyFill="1" applyAlignment="1">
      <alignment/>
    </xf>
    <xf numFmtId="0" fontId="69" fillId="33" borderId="22" xfId="0" applyFont="1" applyFill="1" applyBorder="1" applyAlignment="1">
      <alignment vertical="top" wrapText="1"/>
    </xf>
    <xf numFmtId="0" fontId="69" fillId="33" borderId="22" xfId="0" applyFont="1" applyFill="1" applyBorder="1" applyAlignment="1">
      <alignment/>
    </xf>
    <xf numFmtId="0" fontId="69" fillId="33" borderId="0" xfId="0" applyFont="1" applyFill="1" applyBorder="1" applyAlignment="1">
      <alignment horizontal="left" vertical="top"/>
    </xf>
    <xf numFmtId="0" fontId="72" fillId="33" borderId="16" xfId="0" applyFont="1" applyFill="1" applyBorder="1" applyAlignment="1">
      <alignment horizontal="center"/>
    </xf>
    <xf numFmtId="0" fontId="72" fillId="33" borderId="16" xfId="0" applyFont="1" applyFill="1" applyBorder="1" applyAlignment="1">
      <alignment wrapText="1"/>
    </xf>
    <xf numFmtId="0" fontId="72" fillId="33" borderId="16" xfId="0" applyFont="1" applyFill="1" applyBorder="1" applyAlignment="1">
      <alignment horizontal="center" wrapText="1"/>
    </xf>
    <xf numFmtId="2" fontId="68" fillId="33" borderId="16" xfId="0" applyNumberFormat="1" applyFont="1" applyFill="1" applyBorder="1" applyAlignment="1">
      <alignment horizontal="right" wrapText="1"/>
    </xf>
    <xf numFmtId="0" fontId="81" fillId="33" borderId="0" xfId="0" applyFont="1" applyFill="1" applyAlignment="1">
      <alignment horizontal="center"/>
    </xf>
    <xf numFmtId="0" fontId="82" fillId="33" borderId="0" xfId="0" applyFont="1" applyFill="1" applyAlignment="1">
      <alignment horizontal="center"/>
    </xf>
    <xf numFmtId="0" fontId="67" fillId="33" borderId="16" xfId="0" applyFont="1" applyFill="1" applyBorder="1" applyAlignment="1">
      <alignment vertical="center"/>
    </xf>
    <xf numFmtId="0" fontId="82" fillId="33" borderId="0" xfId="0" applyFont="1" applyFill="1" applyAlignment="1">
      <alignment horizontal="left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2" xfId="0" applyFont="1" applyFill="1" applyBorder="1" applyAlignment="1">
      <alignment horizontal="right" vertical="center" wrapText="1"/>
    </xf>
    <xf numFmtId="0" fontId="67" fillId="33" borderId="14" xfId="0" applyFont="1" applyFill="1" applyBorder="1" applyAlignment="1">
      <alignment horizontal="right" vertical="center" wrapText="1"/>
    </xf>
    <xf numFmtId="0" fontId="67" fillId="33" borderId="18" xfId="0" applyFont="1" applyFill="1" applyBorder="1" applyAlignment="1">
      <alignment horizontal="left" vertical="center" wrapText="1"/>
    </xf>
    <xf numFmtId="2" fontId="67" fillId="33" borderId="17" xfId="0" applyNumberFormat="1" applyFont="1" applyFill="1" applyBorder="1" applyAlignment="1">
      <alignment horizontal="right" vertical="center" wrapText="1"/>
    </xf>
    <xf numFmtId="0" fontId="67" fillId="33" borderId="17" xfId="0" applyFont="1" applyFill="1" applyBorder="1" applyAlignment="1">
      <alignment horizontal="left" wrapText="1"/>
    </xf>
    <xf numFmtId="0" fontId="67" fillId="33" borderId="15" xfId="0" applyFont="1" applyFill="1" applyBorder="1" applyAlignment="1">
      <alignment horizontal="left" vertical="center" wrapText="1"/>
    </xf>
    <xf numFmtId="2" fontId="67" fillId="33" borderId="14" xfId="0" applyNumberFormat="1" applyFont="1" applyFill="1" applyBorder="1" applyAlignment="1">
      <alignment horizontal="right" vertical="center" wrapText="1"/>
    </xf>
    <xf numFmtId="0" fontId="67" fillId="33" borderId="14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wrapText="1"/>
    </xf>
    <xf numFmtId="0" fontId="4" fillId="33" borderId="17" xfId="0" applyFont="1" applyFill="1" applyBorder="1" applyAlignment="1">
      <alignment horizontal="center" wrapText="1"/>
    </xf>
    <xf numFmtId="2" fontId="4" fillId="33" borderId="17" xfId="0" applyNumberFormat="1" applyFont="1" applyFill="1" applyBorder="1" applyAlignment="1">
      <alignment horizontal="right" wrapText="1"/>
    </xf>
    <xf numFmtId="0" fontId="18" fillId="33" borderId="21" xfId="0" applyFont="1" applyFill="1" applyBorder="1" applyAlignment="1" applyProtection="1">
      <alignment wrapText="1"/>
      <protection locked="0"/>
    </xf>
    <xf numFmtId="0" fontId="67" fillId="33" borderId="0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/>
    </xf>
    <xf numFmtId="0" fontId="66" fillId="33" borderId="18" xfId="0" applyFont="1" applyFill="1" applyBorder="1" applyAlignment="1">
      <alignment/>
    </xf>
    <xf numFmtId="0" fontId="68" fillId="33" borderId="16" xfId="0" applyFont="1" applyFill="1" applyBorder="1" applyAlignment="1">
      <alignment vertical="center"/>
    </xf>
    <xf numFmtId="0" fontId="76" fillId="33" borderId="0" xfId="0" applyFont="1" applyFill="1" applyAlignment="1">
      <alignment horizontal="center"/>
    </xf>
    <xf numFmtId="2" fontId="18" fillId="33" borderId="17" xfId="0" applyNumberFormat="1" applyFont="1" applyFill="1" applyBorder="1" applyAlignment="1">
      <alignment horizontal="right" vertical="center" wrapText="1"/>
    </xf>
    <xf numFmtId="0" fontId="72" fillId="33" borderId="17" xfId="0" applyFont="1" applyFill="1" applyBorder="1" applyAlignment="1">
      <alignment horizontal="center" wrapText="1"/>
    </xf>
    <xf numFmtId="0" fontId="83" fillId="33" borderId="0" xfId="0" applyFont="1" applyFill="1" applyAlignment="1">
      <alignment horizontal="center"/>
    </xf>
    <xf numFmtId="0" fontId="69" fillId="33" borderId="12" xfId="0" applyFont="1" applyFill="1" applyBorder="1" applyAlignment="1">
      <alignment horizontal="center" vertical="center" textRotation="90" wrapText="1"/>
    </xf>
    <xf numFmtId="0" fontId="69" fillId="33" borderId="14" xfId="0" applyFont="1" applyFill="1" applyBorder="1" applyAlignment="1">
      <alignment horizontal="center" vertical="center" textRotation="90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2" fontId="18" fillId="33" borderId="17" xfId="0" applyNumberFormat="1" applyFont="1" applyFill="1" applyBorder="1" applyAlignment="1">
      <alignment horizontal="left" vertical="center" wrapText="1"/>
    </xf>
    <xf numFmtId="17" fontId="67" fillId="33" borderId="17" xfId="0" applyNumberFormat="1" applyFont="1" applyFill="1" applyBorder="1" applyAlignment="1">
      <alignment wrapText="1"/>
    </xf>
    <xf numFmtId="0" fontId="67" fillId="33" borderId="20" xfId="0" applyFont="1" applyFill="1" applyBorder="1" applyAlignment="1">
      <alignment/>
    </xf>
    <xf numFmtId="0" fontId="69" fillId="33" borderId="17" xfId="0" applyFont="1" applyFill="1" applyBorder="1" applyAlignment="1">
      <alignment horizontal="center" wrapText="1"/>
    </xf>
    <xf numFmtId="2" fontId="69" fillId="33" borderId="17" xfId="0" applyNumberFormat="1" applyFont="1" applyFill="1" applyBorder="1" applyAlignment="1">
      <alignment horizontal="right" wrapText="1"/>
    </xf>
    <xf numFmtId="2" fontId="72" fillId="33" borderId="17" xfId="0" applyNumberFormat="1" applyFont="1" applyFill="1" applyBorder="1" applyAlignment="1">
      <alignment wrapText="1"/>
    </xf>
    <xf numFmtId="0" fontId="67" fillId="33" borderId="18" xfId="0" applyFont="1" applyFill="1" applyBorder="1" applyAlignment="1">
      <alignment horizontal="left" wrapText="1"/>
    </xf>
    <xf numFmtId="0" fontId="75" fillId="33" borderId="17" xfId="0" applyFont="1" applyFill="1" applyBorder="1" applyAlignment="1">
      <alignment horizontal="left" wrapText="1"/>
    </xf>
    <xf numFmtId="0" fontId="18" fillId="33" borderId="17" xfId="0" applyFont="1" applyFill="1" applyBorder="1" applyAlignment="1">
      <alignment horizontal="center" wrapText="1"/>
    </xf>
    <xf numFmtId="2" fontId="18" fillId="33" borderId="17" xfId="0" applyNumberFormat="1" applyFont="1" applyFill="1" applyBorder="1" applyAlignment="1">
      <alignment horizontal="right" wrapText="1"/>
    </xf>
    <xf numFmtId="0" fontId="67" fillId="33" borderId="20" xfId="0" applyFont="1" applyFill="1" applyBorder="1" applyAlignment="1">
      <alignment/>
    </xf>
    <xf numFmtId="2" fontId="67" fillId="33" borderId="0" xfId="0" applyNumberFormat="1" applyFont="1" applyFill="1" applyAlignment="1">
      <alignment/>
    </xf>
    <xf numFmtId="2" fontId="67" fillId="33" borderId="0" xfId="0" applyNumberFormat="1" applyFont="1" applyFill="1" applyAlignment="1">
      <alignment horizontal="left"/>
    </xf>
    <xf numFmtId="0" fontId="66" fillId="33" borderId="0" xfId="0" applyFont="1" applyFill="1" applyBorder="1" applyAlignment="1">
      <alignment horizontal="center" wrapText="1"/>
    </xf>
    <xf numFmtId="0" fontId="67" fillId="33" borderId="0" xfId="0" applyFont="1" applyFill="1" applyBorder="1" applyAlignment="1">
      <alignment wrapText="1"/>
    </xf>
    <xf numFmtId="0" fontId="66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wrapText="1"/>
    </xf>
    <xf numFmtId="0" fontId="66" fillId="33" borderId="0" xfId="0" applyFont="1" applyFill="1" applyBorder="1" applyAlignment="1">
      <alignment/>
    </xf>
    <xf numFmtId="0" fontId="70" fillId="33" borderId="22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/>
    </xf>
    <xf numFmtId="0" fontId="18" fillId="33" borderId="17" xfId="0" applyFont="1" applyFill="1" applyBorder="1" applyAlignment="1">
      <alignment horizontal="left" wrapText="1"/>
    </xf>
    <xf numFmtId="2" fontId="4" fillId="33" borderId="23" xfId="17" applyNumberFormat="1" applyFont="1" applyFill="1" applyBorder="1" applyAlignment="1" applyProtection="1">
      <alignment horizontal="left" vertical="center" wrapText="1"/>
      <protection locked="0"/>
    </xf>
    <xf numFmtId="4" fontId="67" fillId="33" borderId="21" xfId="0" applyNumberFormat="1" applyFont="1" applyFill="1" applyBorder="1" applyAlignment="1" applyProtection="1">
      <alignment horizontal="left" wrapText="1"/>
      <protection locked="0"/>
    </xf>
    <xf numFmtId="0" fontId="4" fillId="33" borderId="21" xfId="0" applyFont="1" applyFill="1" applyBorder="1" applyAlignment="1">
      <alignment horizontal="left" vertical="top" wrapText="1"/>
    </xf>
    <xf numFmtId="0" fontId="78" fillId="33" borderId="19" xfId="0" applyFont="1" applyFill="1" applyBorder="1" applyAlignment="1">
      <alignment horizontal="center" wrapText="1"/>
    </xf>
    <xf numFmtId="0" fontId="78" fillId="33" borderId="18" xfId="0" applyFont="1" applyFill="1" applyBorder="1" applyAlignment="1">
      <alignment horizontal="center" wrapText="1"/>
    </xf>
    <xf numFmtId="180" fontId="67" fillId="33" borderId="18" xfId="0" applyNumberFormat="1" applyFont="1" applyFill="1" applyBorder="1" applyAlignment="1">
      <alignment horizontal="center" wrapText="1"/>
    </xf>
    <xf numFmtId="0" fontId="69" fillId="33" borderId="0" xfId="0" applyFont="1" applyFill="1" applyAlignment="1">
      <alignment horizontal="right" vertical="center"/>
    </xf>
    <xf numFmtId="2" fontId="69" fillId="33" borderId="0" xfId="0" applyNumberFormat="1" applyFont="1" applyFill="1" applyBorder="1" applyAlignment="1">
      <alignment horizontal="right" wrapText="1"/>
    </xf>
    <xf numFmtId="0" fontId="73" fillId="33" borderId="0" xfId="0" applyFont="1" applyFill="1" applyBorder="1" applyAlignment="1">
      <alignment/>
    </xf>
    <xf numFmtId="0" fontId="69" fillId="33" borderId="22" xfId="0" applyFont="1" applyFill="1" applyBorder="1" applyAlignment="1">
      <alignment wrapText="1"/>
    </xf>
    <xf numFmtId="0" fontId="80" fillId="33" borderId="0" xfId="0" applyFont="1" applyFill="1" applyAlignment="1">
      <alignment wrapText="1"/>
    </xf>
    <xf numFmtId="0" fontId="80" fillId="33" borderId="0" xfId="0" applyFont="1" applyFill="1" applyAlignment="1">
      <alignment/>
    </xf>
    <xf numFmtId="0" fontId="80" fillId="33" borderId="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2" fontId="80" fillId="33" borderId="0" xfId="0" applyNumberFormat="1" applyFont="1" applyFill="1" applyBorder="1" applyAlignment="1">
      <alignment horizontal="right" wrapText="1"/>
    </xf>
    <xf numFmtId="0" fontId="80" fillId="33" borderId="0" xfId="0" applyFont="1" applyFill="1" applyBorder="1" applyAlignment="1">
      <alignment wrapText="1"/>
    </xf>
    <xf numFmtId="0" fontId="66" fillId="33" borderId="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right" vertical="center" wrapText="1"/>
    </xf>
    <xf numFmtId="0" fontId="69" fillId="33" borderId="12" xfId="0" applyFont="1" applyFill="1" applyBorder="1" applyAlignment="1">
      <alignment horizont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right" vertical="center" wrapText="1"/>
    </xf>
    <xf numFmtId="0" fontId="69" fillId="33" borderId="14" xfId="0" applyFont="1" applyFill="1" applyBorder="1" applyAlignment="1">
      <alignment horizont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right" vertical="center" wrapText="1"/>
    </xf>
    <xf numFmtId="0" fontId="80" fillId="33" borderId="0" xfId="0" applyFont="1" applyFill="1" applyBorder="1" applyAlignment="1">
      <alignment horizontal="center" vertical="center" textRotation="90" wrapText="1"/>
    </xf>
    <xf numFmtId="0" fontId="66" fillId="33" borderId="0" xfId="0" applyFont="1" applyFill="1" applyBorder="1" applyAlignment="1">
      <alignment vertical="center" wrapText="1"/>
    </xf>
    <xf numFmtId="0" fontId="18" fillId="33" borderId="14" xfId="0" applyFont="1" applyFill="1" applyBorder="1" applyAlignment="1">
      <alignment wrapText="1"/>
    </xf>
    <xf numFmtId="0" fontId="78" fillId="33" borderId="20" xfId="0" applyFont="1" applyFill="1" applyBorder="1" applyAlignment="1">
      <alignment horizontal="center" wrapText="1"/>
    </xf>
    <xf numFmtId="0" fontId="67" fillId="33" borderId="24" xfId="0" applyFont="1" applyFill="1" applyBorder="1" applyAlignment="1">
      <alignment horizontal="center" vertical="center" textRotation="90" wrapText="1"/>
    </xf>
    <xf numFmtId="0" fontId="67" fillId="33" borderId="25" xfId="0" applyFont="1" applyFill="1" applyBorder="1" applyAlignment="1">
      <alignment horizontal="center" vertical="center" textRotation="90" wrapText="1"/>
    </xf>
    <xf numFmtId="0" fontId="67" fillId="33" borderId="0" xfId="0" applyFont="1" applyFill="1" applyBorder="1" applyAlignment="1">
      <alignment horizontal="center" wrapText="1"/>
    </xf>
    <xf numFmtId="0" fontId="69" fillId="33" borderId="0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left" wrapText="1"/>
    </xf>
    <xf numFmtId="2" fontId="67" fillId="33" borderId="20" xfId="0" applyNumberFormat="1" applyFont="1" applyFill="1" applyBorder="1" applyAlignment="1">
      <alignment horizontal="right" wrapText="1"/>
    </xf>
    <xf numFmtId="2" fontId="18" fillId="33" borderId="17" xfId="0" applyNumberFormat="1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49" fontId="18" fillId="33" borderId="17" xfId="0" applyNumberFormat="1" applyFont="1" applyFill="1" applyBorder="1" applyAlignment="1">
      <alignment horizontal="left" wrapText="1"/>
    </xf>
    <xf numFmtId="1" fontId="4" fillId="33" borderId="17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right" wrapText="1"/>
    </xf>
    <xf numFmtId="0" fontId="4" fillId="33" borderId="17" xfId="0" applyNumberFormat="1" applyFont="1" applyFill="1" applyBorder="1" applyAlignment="1">
      <alignment horizontal="center" wrapText="1"/>
    </xf>
    <xf numFmtId="2" fontId="67" fillId="33" borderId="17" xfId="0" applyNumberFormat="1" applyFont="1" applyFill="1" applyBorder="1" applyAlignment="1">
      <alignment horizontal="center"/>
    </xf>
    <xf numFmtId="0" fontId="67" fillId="33" borderId="20" xfId="0" applyFont="1" applyFill="1" applyBorder="1" applyAlignment="1">
      <alignment horizontal="right"/>
    </xf>
    <xf numFmtId="2" fontId="4" fillId="33" borderId="17" xfId="0" applyNumberFormat="1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left" wrapText="1"/>
    </xf>
    <xf numFmtId="180" fontId="69" fillId="33" borderId="17" xfId="0" applyNumberFormat="1" applyFont="1" applyFill="1" applyBorder="1" applyAlignment="1">
      <alignment horizontal="center" wrapText="1"/>
    </xf>
    <xf numFmtId="0" fontId="67" fillId="33" borderId="0" xfId="0" applyFont="1" applyFill="1" applyBorder="1" applyAlignment="1">
      <alignment horizontal="center" vertical="center" textRotation="90" wrapText="1"/>
    </xf>
    <xf numFmtId="0" fontId="67" fillId="33" borderId="17" xfId="0" applyFont="1" applyFill="1" applyBorder="1" applyAlignment="1">
      <alignment horizontal="center" vertical="center" textRotation="90" wrapText="1"/>
    </xf>
    <xf numFmtId="0" fontId="67" fillId="33" borderId="22" xfId="0" applyFont="1" applyFill="1" applyBorder="1" applyAlignment="1">
      <alignment wrapText="1"/>
    </xf>
    <xf numFmtId="0" fontId="67" fillId="33" borderId="22" xfId="0" applyFont="1" applyFill="1" applyBorder="1" applyAlignment="1">
      <alignment horizontal="center" wrapText="1"/>
    </xf>
    <xf numFmtId="0" fontId="67" fillId="33" borderId="0" xfId="0" applyFont="1" applyFill="1" applyBorder="1" applyAlignment="1">
      <alignment vertical="top" wrapText="1"/>
    </xf>
    <xf numFmtId="0" fontId="67" fillId="33" borderId="0" xfId="0" applyFont="1" applyFill="1" applyBorder="1" applyAlignment="1">
      <alignment horizontal="center" vertical="top" wrapText="1"/>
    </xf>
    <xf numFmtId="0" fontId="66" fillId="33" borderId="22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horizontal="center" vertical="top" wrapText="1"/>
    </xf>
    <xf numFmtId="2" fontId="67" fillId="33" borderId="14" xfId="0" applyNumberFormat="1" applyFont="1" applyFill="1" applyBorder="1" applyAlignment="1">
      <alignment horizontal="right" wrapText="1"/>
    </xf>
    <xf numFmtId="4" fontId="18" fillId="33" borderId="17" xfId="0" applyNumberFormat="1" applyFont="1" applyFill="1" applyBorder="1" applyAlignment="1">
      <alignment horizontal="left" vertical="center" wrapText="1"/>
    </xf>
    <xf numFmtId="181" fontId="67" fillId="33" borderId="18" xfId="0" applyNumberFormat="1" applyFont="1" applyFill="1" applyBorder="1" applyAlignment="1">
      <alignment horizontal="center" wrapText="1"/>
    </xf>
    <xf numFmtId="177" fontId="18" fillId="33" borderId="17" xfId="0" applyNumberFormat="1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wrapText="1"/>
    </xf>
    <xf numFmtId="0" fontId="67" fillId="33" borderId="10" xfId="0" applyFont="1" applyFill="1" applyBorder="1" applyAlignment="1">
      <alignment wrapText="1"/>
    </xf>
    <xf numFmtId="180" fontId="67" fillId="33" borderId="10" xfId="0" applyNumberFormat="1" applyFont="1" applyFill="1" applyBorder="1" applyAlignment="1">
      <alignment horizontal="center" wrapText="1"/>
    </xf>
    <xf numFmtId="0" fontId="72" fillId="33" borderId="26" xfId="0" applyFont="1" applyFill="1" applyBorder="1" applyAlignment="1">
      <alignment horizontal="center" wrapText="1"/>
    </xf>
    <xf numFmtId="0" fontId="72" fillId="33" borderId="27" xfId="0" applyFont="1" applyFill="1" applyBorder="1" applyAlignment="1">
      <alignment horizontal="center" wrapText="1"/>
    </xf>
    <xf numFmtId="180" fontId="67" fillId="33" borderId="0" xfId="0" applyNumberFormat="1" applyFont="1" applyFill="1" applyAlignment="1">
      <alignment/>
    </xf>
    <xf numFmtId="0" fontId="67" fillId="33" borderId="28" xfId="0" applyFont="1" applyFill="1" applyBorder="1" applyAlignment="1">
      <alignment wrapText="1"/>
    </xf>
    <xf numFmtId="0" fontId="72" fillId="33" borderId="19" xfId="0" applyFont="1" applyFill="1" applyBorder="1" applyAlignment="1">
      <alignment horizontal="center" wrapText="1"/>
    </xf>
    <xf numFmtId="0" fontId="72" fillId="33" borderId="18" xfId="0" applyFont="1" applyFill="1" applyBorder="1" applyAlignment="1">
      <alignment horizontal="center" wrapText="1"/>
    </xf>
    <xf numFmtId="0" fontId="66" fillId="33" borderId="16" xfId="0" applyFont="1" applyFill="1" applyBorder="1" applyAlignment="1">
      <alignment horizontal="center"/>
    </xf>
    <xf numFmtId="0" fontId="66" fillId="33" borderId="16" xfId="0" applyFont="1" applyFill="1" applyBorder="1" applyAlignment="1">
      <alignment wrapText="1"/>
    </xf>
    <xf numFmtId="0" fontId="66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left" vertical="center" wrapText="1"/>
    </xf>
    <xf numFmtId="58" fontId="67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67" fillId="33" borderId="16" xfId="0" applyFont="1" applyFill="1" applyBorder="1" applyAlignment="1">
      <alignment horizontal="center" vertical="center" textRotation="90" wrapText="1"/>
    </xf>
    <xf numFmtId="0" fontId="18" fillId="33" borderId="21" xfId="0" applyFont="1" applyFill="1" applyBorder="1" applyAlignment="1" applyProtection="1">
      <alignment horizontal="left" wrapText="1"/>
      <protection locked="0"/>
    </xf>
    <xf numFmtId="2" fontId="18" fillId="33" borderId="21" xfId="0" applyNumberFormat="1" applyFont="1" applyFill="1" applyBorder="1" applyAlignment="1" applyProtection="1">
      <alignment horizontal="left" wrapText="1"/>
      <protection locked="0"/>
    </xf>
    <xf numFmtId="0" fontId="67" fillId="33" borderId="17" xfId="0" applyFont="1" applyFill="1" applyBorder="1" applyAlignment="1">
      <alignment horizontal="left"/>
    </xf>
    <xf numFmtId="0" fontId="18" fillId="33" borderId="29" xfId="0" applyFont="1" applyFill="1" applyBorder="1" applyAlignment="1" applyProtection="1">
      <alignment wrapText="1"/>
      <protection locked="0"/>
    </xf>
    <xf numFmtId="0" fontId="18" fillId="33" borderId="30" xfId="0" applyFont="1" applyFill="1" applyBorder="1" applyAlignment="1" applyProtection="1">
      <alignment wrapText="1"/>
      <protection locked="0"/>
    </xf>
    <xf numFmtId="0" fontId="4" fillId="33" borderId="20" xfId="0" applyFont="1" applyFill="1" applyBorder="1" applyAlignment="1" applyProtection="1">
      <alignment horizontal="left" wrapText="1"/>
      <protection locked="0"/>
    </xf>
    <xf numFmtId="2" fontId="18" fillId="33" borderId="21" xfId="0" applyNumberFormat="1" applyFont="1" applyFill="1" applyBorder="1" applyAlignment="1" applyProtection="1">
      <alignment wrapText="1"/>
      <protection locked="0"/>
    </xf>
    <xf numFmtId="0" fontId="70" fillId="33" borderId="19" xfId="0" applyFont="1" applyFill="1" applyBorder="1" applyAlignment="1">
      <alignment horizontal="center" wrapText="1"/>
    </xf>
    <xf numFmtId="0" fontId="70" fillId="33" borderId="18" xfId="0" applyFont="1" applyFill="1" applyBorder="1" applyAlignment="1">
      <alignment horizontal="center" wrapText="1"/>
    </xf>
    <xf numFmtId="0" fontId="70" fillId="33" borderId="17" xfId="0" applyFont="1" applyFill="1" applyBorder="1" applyAlignment="1">
      <alignment wrapText="1"/>
    </xf>
    <xf numFmtId="0" fontId="70" fillId="33" borderId="17" xfId="0" applyFont="1" applyFill="1" applyBorder="1" applyAlignment="1">
      <alignment horizontal="center" wrapText="1"/>
    </xf>
    <xf numFmtId="2" fontId="80" fillId="33" borderId="17" xfId="0" applyNumberFormat="1" applyFont="1" applyFill="1" applyBorder="1" applyAlignment="1">
      <alignment horizontal="right" wrapText="1"/>
    </xf>
    <xf numFmtId="0" fontId="70" fillId="33" borderId="17" xfId="0" applyFont="1" applyFill="1" applyBorder="1" applyAlignment="1">
      <alignment/>
    </xf>
    <xf numFmtId="0" fontId="4" fillId="33" borderId="31" xfId="0" applyFont="1" applyFill="1" applyBorder="1" applyAlignment="1" applyProtection="1">
      <alignment horizontal="left" wrapText="1"/>
      <protection locked="0"/>
    </xf>
    <xf numFmtId="2" fontId="70" fillId="33" borderId="0" xfId="0" applyNumberFormat="1" applyFont="1" applyFill="1" applyAlignment="1">
      <alignment/>
    </xf>
    <xf numFmtId="0" fontId="82" fillId="33" borderId="0" xfId="0" applyFont="1" applyFill="1" applyAlignment="1">
      <alignment horizontal="center" vertical="top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wrapText="1"/>
    </xf>
    <xf numFmtId="0" fontId="4" fillId="33" borderId="18" xfId="0" applyFont="1" applyFill="1" applyBorder="1" applyAlignment="1">
      <alignment horizontal="center" wrapText="1"/>
    </xf>
    <xf numFmtId="2" fontId="4" fillId="33" borderId="17" xfId="0" applyNumberFormat="1" applyFont="1" applyFill="1" applyBorder="1" applyAlignment="1">
      <alignment wrapText="1"/>
    </xf>
    <xf numFmtId="4" fontId="18" fillId="33" borderId="17" xfId="0" applyNumberFormat="1" applyFont="1" applyFill="1" applyBorder="1" applyAlignment="1">
      <alignment horizontal="left" wrapText="1"/>
    </xf>
    <xf numFmtId="0" fontId="12" fillId="33" borderId="17" xfId="0" applyFont="1" applyFill="1" applyBorder="1" applyAlignment="1">
      <alignment wrapText="1"/>
    </xf>
    <xf numFmtId="2" fontId="4" fillId="33" borderId="0" xfId="0" applyNumberFormat="1" applyFont="1" applyFill="1" applyAlignment="1">
      <alignment/>
    </xf>
    <xf numFmtId="49" fontId="4" fillId="33" borderId="17" xfId="0" applyNumberFormat="1" applyFont="1" applyFill="1" applyBorder="1" applyAlignment="1">
      <alignment wrapText="1"/>
    </xf>
    <xf numFmtId="0" fontId="18" fillId="33" borderId="14" xfId="0" applyFont="1" applyFill="1" applyBorder="1" applyAlignment="1">
      <alignment horizontal="left" vertical="center" wrapText="1"/>
    </xf>
    <xf numFmtId="182" fontId="18" fillId="33" borderId="17" xfId="0" applyNumberFormat="1" applyFont="1" applyFill="1" applyBorder="1" applyAlignment="1">
      <alignment horizontal="center" wrapText="1"/>
    </xf>
    <xf numFmtId="2" fontId="18" fillId="33" borderId="20" xfId="0" applyNumberFormat="1" applyFont="1" applyFill="1" applyBorder="1" applyAlignment="1">
      <alignment wrapText="1"/>
    </xf>
    <xf numFmtId="2" fontId="18" fillId="33" borderId="17" xfId="0" applyNumberFormat="1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left" wrapText="1"/>
    </xf>
    <xf numFmtId="1" fontId="18" fillId="33" borderId="17" xfId="0" applyNumberFormat="1" applyFont="1" applyFill="1" applyBorder="1" applyAlignment="1">
      <alignment horizontal="center" wrapText="1"/>
    </xf>
    <xf numFmtId="2" fontId="18" fillId="33" borderId="20" xfId="0" applyNumberFormat="1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vertical="center" textRotation="90" wrapText="1"/>
    </xf>
    <xf numFmtId="0" fontId="67" fillId="33" borderId="18" xfId="0" applyNumberFormat="1" applyFont="1" applyFill="1" applyBorder="1" applyAlignment="1">
      <alignment wrapText="1"/>
    </xf>
    <xf numFmtId="0" fontId="18" fillId="33" borderId="17" xfId="0" applyFont="1" applyFill="1" applyBorder="1" applyAlignment="1" applyProtection="1">
      <alignment horizontal="left" wrapText="1"/>
      <protection locked="0"/>
    </xf>
    <xf numFmtId="0" fontId="66" fillId="33" borderId="20" xfId="0" applyFont="1" applyFill="1" applyBorder="1" applyAlignment="1">
      <alignment horizontal="center"/>
    </xf>
    <xf numFmtId="0" fontId="66" fillId="33" borderId="22" xfId="0" applyFont="1" applyFill="1" applyBorder="1" applyAlignment="1">
      <alignment wrapText="1"/>
    </xf>
    <xf numFmtId="0" fontId="66" fillId="33" borderId="0" xfId="0" applyFont="1" applyFill="1" applyAlignment="1">
      <alignment horizontal="right"/>
    </xf>
    <xf numFmtId="0" fontId="0" fillId="33" borderId="14" xfId="0" applyFill="1" applyBorder="1" applyAlignment="1">
      <alignment horizontal="center" vertical="center" textRotation="90" wrapText="1"/>
    </xf>
    <xf numFmtId="0" fontId="66" fillId="33" borderId="13" xfId="0" applyFont="1" applyFill="1" applyBorder="1" applyAlignment="1">
      <alignment horizontal="center" vertical="center" wrapText="1"/>
    </xf>
    <xf numFmtId="2" fontId="67" fillId="33" borderId="17" xfId="0" applyNumberFormat="1" applyFont="1" applyFill="1" applyBorder="1" applyAlignment="1">
      <alignment wrapText="1"/>
    </xf>
    <xf numFmtId="0" fontId="70" fillId="33" borderId="17" xfId="0" applyFont="1" applyFill="1" applyBorder="1" applyAlignment="1">
      <alignment horizontal="center"/>
    </xf>
    <xf numFmtId="2" fontId="70" fillId="33" borderId="17" xfId="0" applyNumberFormat="1" applyFont="1" applyFill="1" applyBorder="1" applyAlignment="1">
      <alignment wrapText="1"/>
    </xf>
    <xf numFmtId="0" fontId="80" fillId="33" borderId="17" xfId="0" applyFont="1" applyFill="1" applyBorder="1" applyAlignment="1">
      <alignment horizontal="center"/>
    </xf>
    <xf numFmtId="0" fontId="80" fillId="33" borderId="17" xfId="0" applyFont="1" applyFill="1" applyBorder="1" applyAlignment="1">
      <alignment wrapText="1"/>
    </xf>
    <xf numFmtId="0" fontId="80" fillId="33" borderId="17" xfId="0" applyFont="1" applyFill="1" applyBorder="1" applyAlignment="1">
      <alignment horizontal="center" wrapText="1"/>
    </xf>
    <xf numFmtId="2" fontId="80" fillId="33" borderId="17" xfId="0" applyNumberFormat="1" applyFont="1" applyFill="1" applyBorder="1" applyAlignment="1">
      <alignment wrapText="1"/>
    </xf>
    <xf numFmtId="0" fontId="80" fillId="33" borderId="17" xfId="0" applyFont="1" applyFill="1" applyBorder="1" applyAlignment="1">
      <alignment/>
    </xf>
    <xf numFmtId="2" fontId="67" fillId="33" borderId="16" xfId="0" applyNumberFormat="1" applyFont="1" applyFill="1" applyBorder="1" applyAlignment="1">
      <alignment wrapText="1"/>
    </xf>
    <xf numFmtId="2" fontId="67" fillId="33" borderId="0" xfId="0" applyNumberFormat="1" applyFont="1" applyFill="1" applyBorder="1" applyAlignment="1">
      <alignment wrapText="1"/>
    </xf>
    <xf numFmtId="0" fontId="73" fillId="33" borderId="22" xfId="0" applyFont="1" applyFill="1" applyBorder="1" applyAlignment="1">
      <alignment vertical="top" wrapText="1"/>
    </xf>
    <xf numFmtId="0" fontId="73" fillId="33" borderId="22" xfId="0" applyFont="1" applyFill="1" applyBorder="1" applyAlignment="1">
      <alignment/>
    </xf>
    <xf numFmtId="2" fontId="66" fillId="33" borderId="0" xfId="0" applyNumberFormat="1" applyFont="1" applyFill="1" applyBorder="1" applyAlignment="1">
      <alignment wrapText="1"/>
    </xf>
    <xf numFmtId="0" fontId="70" fillId="33" borderId="20" xfId="0" applyFont="1" applyFill="1" applyBorder="1" applyAlignment="1">
      <alignment horizontal="center" wrapText="1"/>
    </xf>
    <xf numFmtId="0" fontId="79" fillId="33" borderId="0" xfId="0" applyFont="1" applyFill="1" applyAlignment="1">
      <alignment horizontal="center"/>
    </xf>
    <xf numFmtId="0" fontId="70" fillId="33" borderId="20" xfId="0" applyFont="1" applyFill="1" applyBorder="1" applyAlignment="1">
      <alignment/>
    </xf>
    <xf numFmtId="2" fontId="18" fillId="33" borderId="17" xfId="0" applyNumberFormat="1" applyFont="1" applyFill="1" applyBorder="1" applyAlignment="1">
      <alignment wrapText="1"/>
    </xf>
    <xf numFmtId="0" fontId="70" fillId="33" borderId="20" xfId="0" applyFont="1" applyFill="1" applyBorder="1" applyAlignment="1">
      <alignment/>
    </xf>
    <xf numFmtId="180" fontId="70" fillId="33" borderId="18" xfId="0" applyNumberFormat="1" applyFont="1" applyFill="1" applyBorder="1" applyAlignment="1">
      <alignment horizontal="center" wrapText="1"/>
    </xf>
    <xf numFmtId="2" fontId="69" fillId="33" borderId="0" xfId="0" applyNumberFormat="1" applyFont="1" applyFill="1" applyBorder="1" applyAlignment="1">
      <alignment wrapText="1"/>
    </xf>
    <xf numFmtId="0" fontId="73" fillId="33" borderId="22" xfId="0" applyFont="1" applyFill="1" applyBorder="1" applyAlignment="1">
      <alignment wrapText="1"/>
    </xf>
    <xf numFmtId="2" fontId="73" fillId="33" borderId="0" xfId="0" applyNumberFormat="1" applyFont="1" applyFill="1" applyBorder="1" applyAlignment="1">
      <alignment wrapText="1"/>
    </xf>
    <xf numFmtId="0" fontId="70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textRotation="90" wrapText="1"/>
    </xf>
    <xf numFmtId="2" fontId="70" fillId="33" borderId="17" xfId="0" applyNumberFormat="1" applyFont="1" applyFill="1" applyBorder="1" applyAlignment="1">
      <alignment horizontal="right" wrapText="1"/>
    </xf>
    <xf numFmtId="0" fontId="66" fillId="33" borderId="22" xfId="0" applyFont="1" applyFill="1" applyBorder="1" applyAlignment="1">
      <alignment/>
    </xf>
    <xf numFmtId="0" fontId="80" fillId="33" borderId="0" xfId="0" applyFont="1" applyFill="1" applyBorder="1" applyAlignment="1">
      <alignment horizontal="center"/>
    </xf>
    <xf numFmtId="2" fontId="67" fillId="33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69" fillId="33" borderId="17" xfId="0" applyNumberFormat="1" applyFont="1" applyFill="1" applyBorder="1" applyAlignment="1">
      <alignment wrapText="1"/>
    </xf>
    <xf numFmtId="0" fontId="70" fillId="33" borderId="0" xfId="0" applyFont="1" applyFill="1" applyBorder="1" applyAlignment="1">
      <alignment horizontal="center" vertical="center" textRotation="90" wrapText="1"/>
    </xf>
    <xf numFmtId="0" fontId="66" fillId="33" borderId="0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wrapText="1"/>
    </xf>
    <xf numFmtId="0" fontId="84" fillId="0" borderId="18" xfId="0" applyFont="1" applyBorder="1" applyAlignment="1">
      <alignment horizontal="center" wrapText="1"/>
    </xf>
    <xf numFmtId="0" fontId="70" fillId="33" borderId="26" xfId="0" applyFont="1" applyFill="1" applyBorder="1" applyAlignment="1">
      <alignment horizontal="center" wrapText="1"/>
    </xf>
    <xf numFmtId="0" fontId="70" fillId="33" borderId="32" xfId="0" applyFont="1" applyFill="1" applyBorder="1" applyAlignment="1">
      <alignment horizontal="center" wrapText="1"/>
    </xf>
    <xf numFmtId="0" fontId="84" fillId="0" borderId="19" xfId="0" applyFont="1" applyBorder="1" applyAlignment="1">
      <alignment horizontal="center" wrapText="1"/>
    </xf>
    <xf numFmtId="2" fontId="67" fillId="33" borderId="14" xfId="0" applyNumberFormat="1" applyFont="1" applyFill="1" applyBorder="1" applyAlignment="1">
      <alignment horizontal="center" vertical="center" wrapText="1"/>
    </xf>
    <xf numFmtId="2" fontId="70" fillId="33" borderId="17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2" fontId="7" fillId="33" borderId="17" xfId="0" applyNumberFormat="1" applyFont="1" applyFill="1" applyBorder="1" applyAlignment="1">
      <alignment wrapText="1"/>
    </xf>
    <xf numFmtId="0" fontId="66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0" borderId="0" xfId="0" applyFont="1" applyAlignment="1">
      <alignment/>
    </xf>
    <xf numFmtId="0" fontId="67" fillId="0" borderId="17" xfId="0" applyFont="1" applyBorder="1" applyAlignment="1">
      <alignment wrapText="1"/>
    </xf>
    <xf numFmtId="0" fontId="67" fillId="0" borderId="17" xfId="0" applyFont="1" applyBorder="1" applyAlignment="1">
      <alignment horizontal="center" wrapText="1"/>
    </xf>
    <xf numFmtId="2" fontId="67" fillId="0" borderId="0" xfId="0" applyNumberFormat="1" applyFont="1" applyAlignment="1">
      <alignment/>
    </xf>
    <xf numFmtId="0" fontId="69" fillId="33" borderId="18" xfId="0" applyFont="1" applyFill="1" applyBorder="1" applyAlignment="1">
      <alignment wrapText="1"/>
    </xf>
    <xf numFmtId="0" fontId="67" fillId="0" borderId="17" xfId="0" applyFont="1" applyFill="1" applyBorder="1" applyAlignment="1">
      <alignment wrapText="1"/>
    </xf>
    <xf numFmtId="0" fontId="67" fillId="34" borderId="0" xfId="0" applyFont="1" applyFill="1" applyAlignment="1">
      <alignment horizontal="left"/>
    </xf>
    <xf numFmtId="0" fontId="18" fillId="0" borderId="17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center" wrapText="1"/>
    </xf>
    <xf numFmtId="2" fontId="67" fillId="34" borderId="17" xfId="0" applyNumberFormat="1" applyFont="1" applyFill="1" applyBorder="1" applyAlignment="1">
      <alignment horizontal="center"/>
    </xf>
    <xf numFmtId="0" fontId="67" fillId="34" borderId="20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right" wrapText="1"/>
    </xf>
    <xf numFmtId="0" fontId="18" fillId="0" borderId="20" xfId="0" applyFont="1" applyBorder="1" applyAlignment="1">
      <alignment horizontal="left" wrapText="1"/>
    </xf>
    <xf numFmtId="2" fontId="67" fillId="34" borderId="0" xfId="0" applyNumberFormat="1" applyFont="1" applyFill="1" applyAlignment="1">
      <alignment horizontal="left"/>
    </xf>
    <xf numFmtId="0" fontId="67" fillId="34" borderId="0" xfId="0" applyFont="1" applyFill="1" applyAlignment="1">
      <alignment/>
    </xf>
    <xf numFmtId="0" fontId="18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wrapText="1"/>
    </xf>
    <xf numFmtId="0" fontId="4" fillId="34" borderId="1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34" borderId="17" xfId="0" applyNumberFormat="1" applyFont="1" applyFill="1" applyBorder="1" applyAlignment="1">
      <alignment wrapText="1"/>
    </xf>
    <xf numFmtId="0" fontId="18" fillId="34" borderId="14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wrapText="1"/>
    </xf>
    <xf numFmtId="1" fontId="18" fillId="0" borderId="17" xfId="0" applyNumberFormat="1" applyFont="1" applyFill="1" applyBorder="1" applyAlignment="1">
      <alignment horizontal="center" wrapText="1"/>
    </xf>
    <xf numFmtId="0" fontId="18" fillId="0" borderId="18" xfId="0" applyFont="1" applyBorder="1" applyAlignment="1">
      <alignment wrapText="1"/>
    </xf>
    <xf numFmtId="0" fontId="67" fillId="0" borderId="17" xfId="0" applyFont="1" applyFill="1" applyBorder="1" applyAlignment="1">
      <alignment horizontal="center" wrapText="1"/>
    </xf>
    <xf numFmtId="180" fontId="69" fillId="0" borderId="17" xfId="0" applyNumberFormat="1" applyFont="1" applyFill="1" applyBorder="1" applyAlignment="1">
      <alignment horizontal="center" wrapText="1"/>
    </xf>
    <xf numFmtId="2" fontId="67" fillId="34" borderId="0" xfId="0" applyNumberFormat="1" applyFont="1" applyFill="1" applyAlignment="1">
      <alignment/>
    </xf>
    <xf numFmtId="0" fontId="4" fillId="0" borderId="18" xfId="0" applyFont="1" applyBorder="1" applyAlignment="1">
      <alignment wrapText="1"/>
    </xf>
    <xf numFmtId="0" fontId="4" fillId="34" borderId="18" xfId="0" applyFont="1" applyFill="1" applyBorder="1" applyAlignment="1">
      <alignment wrapText="1"/>
    </xf>
    <xf numFmtId="0" fontId="4" fillId="34" borderId="18" xfId="0" applyFont="1" applyFill="1" applyBorder="1" applyAlignment="1">
      <alignment horizontal="center" wrapText="1"/>
    </xf>
    <xf numFmtId="0" fontId="67" fillId="0" borderId="18" xfId="0" applyFont="1" applyBorder="1" applyAlignment="1">
      <alignment wrapText="1"/>
    </xf>
    <xf numFmtId="0" fontId="67" fillId="0" borderId="17" xfId="0" applyFont="1" applyBorder="1" applyAlignment="1">
      <alignment vertical="center" wrapText="1"/>
    </xf>
    <xf numFmtId="180" fontId="67" fillId="0" borderId="17" xfId="0" applyNumberFormat="1" applyFont="1" applyFill="1" applyBorder="1" applyAlignment="1">
      <alignment horizontal="center" wrapText="1"/>
    </xf>
    <xf numFmtId="0" fontId="67" fillId="0" borderId="18" xfId="0" applyFont="1" applyBorder="1" applyAlignment="1">
      <alignment horizontal="center" wrapText="1"/>
    </xf>
    <xf numFmtId="0" fontId="67" fillId="0" borderId="18" xfId="0" applyNumberFormat="1" applyFont="1" applyBorder="1" applyAlignment="1">
      <alignment wrapText="1"/>
    </xf>
    <xf numFmtId="0" fontId="18" fillId="0" borderId="17" xfId="0" applyFont="1" applyBorder="1" applyAlignment="1" applyProtection="1">
      <alignment horizontal="left" wrapText="1"/>
      <protection locked="0"/>
    </xf>
  </cellXfs>
  <cellStyles count="52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Вывод" xfId="27"/>
    <cellStyle name="Hyperlink" xfId="28"/>
    <cellStyle name="Примечание" xfId="29"/>
    <cellStyle name="40% — Акцент4" xfId="30"/>
    <cellStyle name="Followed Hyperlink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  <cellStyle name="Обычный 2 3 2" xfId="64"/>
    <cellStyle name="Финансовый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4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5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6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7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8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4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5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6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7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6.51.5&amp;usg=ALkJrhhyEQ0b5Pg7wIgEpR7TwuhbnQhxeQ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4" Type="http://schemas.openxmlformats.org/officeDocument/2006/relationships/hyperlink" Target="https://translate.googleusercontent.com/translate_c?depth=1&amp;hl=ru&amp;prev=search&amp;rurl=translate.google.com&amp;sl=uk&amp;sp=nmt4&amp;u=https://dkpp.rv.ua/index.php%3Flevel%3D26.51.5&amp;usg=ALkJrhhyEQ0b5Pg7wIgEpR7TwuhbnQhxeQ" TargetMode="External" /><Relationship Id="rId5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6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7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8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9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0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3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4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5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6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7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8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9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0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3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4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5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6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7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8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9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0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3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4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5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6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7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4" Type="http://schemas.openxmlformats.org/officeDocument/2006/relationships/hyperlink" Target="https://translate.googleusercontent.com/translate_c?depth=1&amp;hl=ru&amp;prev=search&amp;rurl=translate.google.com&amp;sl=uk&amp;sp=nmt4&amp;u=https://dkpp.rv.ua/index.php%3Flevel%3D26.51.5&amp;usg=ALkJrhhyEQ0b5Pg7wIgEpR7TwuhbnQhxeQ" TargetMode="External" /><Relationship Id="rId5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6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7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8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9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0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3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4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5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6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7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8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19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0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3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4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5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6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7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8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9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0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3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4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5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6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7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2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3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Relationship Id="rId4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translate.googleusercontent.com/translate_c?depth=1&amp;hl=ru&amp;prev=search&amp;rurl=translate.google.com&amp;sl=uk&amp;sp=nmt4&amp;u=https://dkpp.rv.ua/index.php%3Flevel%3D22.19.6&amp;usg=ALkJrhgAw2p9BUqNHPTp5K4gNWnOZP3Rr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5"/>
  <sheetViews>
    <sheetView view="pageBreakPreview" zoomScale="90" zoomScaleNormal="90" zoomScaleSheetLayoutView="90" workbookViewId="0" topLeftCell="A43">
      <selection activeCell="G53" sqref="G53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317" t="s">
        <v>2</v>
      </c>
      <c r="B2" s="317"/>
      <c r="C2" s="317"/>
      <c r="D2" s="317"/>
      <c r="E2" s="317"/>
      <c r="F2" s="317"/>
      <c r="G2" s="317"/>
      <c r="H2" s="317"/>
      <c r="I2" s="317"/>
    </row>
    <row r="3" spans="1:9" s="7" customFormat="1" ht="29.25" customHeight="1" hidden="1">
      <c r="A3" s="35" t="s">
        <v>3</v>
      </c>
      <c r="B3" s="173"/>
      <c r="C3" s="173"/>
      <c r="D3" s="173"/>
      <c r="E3" s="173"/>
      <c r="F3" s="173"/>
      <c r="G3" s="173"/>
      <c r="H3" s="173"/>
      <c r="I3" s="173"/>
    </row>
    <row r="4" spans="3:9" ht="15" customHeight="1">
      <c r="C4" s="145"/>
      <c r="D4" s="60" t="s">
        <v>4</v>
      </c>
      <c r="E4" s="145"/>
      <c r="F4" s="145"/>
      <c r="G4" s="309"/>
      <c r="H4" s="61"/>
      <c r="I4" s="61"/>
    </row>
    <row r="5" ht="15" customHeight="1"/>
    <row r="6" spans="1:11" ht="15.75" customHeight="1">
      <c r="A6" s="83" t="s">
        <v>5</v>
      </c>
      <c r="B6" s="27" t="s">
        <v>6</v>
      </c>
      <c r="C6" s="28" t="s">
        <v>7</v>
      </c>
      <c r="D6" s="63" t="s">
        <v>8</v>
      </c>
      <c r="E6" s="28" t="s">
        <v>9</v>
      </c>
      <c r="F6" s="28" t="s">
        <v>10</v>
      </c>
      <c r="G6" s="63" t="s">
        <v>11</v>
      </c>
      <c r="H6" s="63" t="s">
        <v>12</v>
      </c>
      <c r="I6" s="63" t="s">
        <v>13</v>
      </c>
      <c r="J6" s="71"/>
      <c r="K6" s="71"/>
    </row>
    <row r="7" spans="1:9" ht="31.5" customHeight="1">
      <c r="A7" s="84"/>
      <c r="B7" s="30"/>
      <c r="C7" s="31"/>
      <c r="D7" s="65"/>
      <c r="E7" s="31"/>
      <c r="F7" s="31"/>
      <c r="G7" s="65"/>
      <c r="H7" s="65"/>
      <c r="I7" s="65"/>
    </row>
    <row r="8" spans="1:9" ht="37.5" customHeight="1">
      <c r="A8" s="85"/>
      <c r="B8" s="33"/>
      <c r="C8" s="34"/>
      <c r="D8" s="67"/>
      <c r="E8" s="34"/>
      <c r="F8" s="34"/>
      <c r="G8" s="67"/>
      <c r="H8" s="67"/>
      <c r="I8" s="67"/>
    </row>
    <row r="9" spans="1:14" ht="20.25" customHeight="1">
      <c r="A9" s="32">
        <v>1</v>
      </c>
      <c r="B9" s="33">
        <v>2</v>
      </c>
      <c r="C9" s="34">
        <v>3</v>
      </c>
      <c r="D9" s="67">
        <v>4</v>
      </c>
      <c r="E9" s="34">
        <v>5</v>
      </c>
      <c r="F9" s="34">
        <v>6</v>
      </c>
      <c r="G9" s="67">
        <v>7</v>
      </c>
      <c r="H9" s="67">
        <v>8</v>
      </c>
      <c r="I9" s="65">
        <v>9</v>
      </c>
      <c r="N9" s="12" t="s">
        <v>14</v>
      </c>
    </row>
    <row r="10" spans="1:15" ht="29.25" customHeight="1">
      <c r="A10" s="37">
        <v>884</v>
      </c>
      <c r="B10" s="38" t="s">
        <v>15</v>
      </c>
      <c r="C10" s="39" t="s">
        <v>16</v>
      </c>
      <c r="D10" s="40" t="s">
        <v>17</v>
      </c>
      <c r="E10" s="41" t="s">
        <v>18</v>
      </c>
      <c r="F10" s="41">
        <v>5</v>
      </c>
      <c r="G10" s="42">
        <v>1050</v>
      </c>
      <c r="H10" s="155" t="s">
        <v>19</v>
      </c>
      <c r="I10" s="224"/>
      <c r="L10" s="74">
        <f>G10-K10</f>
        <v>1050</v>
      </c>
      <c r="N10" s="12">
        <v>3</v>
      </c>
      <c r="O10" s="12">
        <v>780</v>
      </c>
    </row>
    <row r="11" spans="1:12" ht="60" customHeight="1">
      <c r="A11" s="37">
        <v>885</v>
      </c>
      <c r="B11" s="38" t="s">
        <v>20</v>
      </c>
      <c r="C11" s="43" t="s">
        <v>21</v>
      </c>
      <c r="D11" s="40" t="s">
        <v>17</v>
      </c>
      <c r="E11" s="41" t="s">
        <v>22</v>
      </c>
      <c r="F11" s="41">
        <v>3</v>
      </c>
      <c r="G11" s="42">
        <v>1111.32</v>
      </c>
      <c r="H11" s="155" t="s">
        <v>19</v>
      </c>
      <c r="I11" s="224"/>
      <c r="L11" s="74"/>
    </row>
    <row r="12" spans="1:12" ht="30" customHeight="1">
      <c r="A12" s="37">
        <v>886</v>
      </c>
      <c r="B12" s="38" t="s">
        <v>23</v>
      </c>
      <c r="C12" s="43" t="s">
        <v>24</v>
      </c>
      <c r="D12" s="40" t="s">
        <v>17</v>
      </c>
      <c r="E12" s="41" t="s">
        <v>25</v>
      </c>
      <c r="F12" s="41">
        <v>1</v>
      </c>
      <c r="G12" s="42">
        <v>174.11</v>
      </c>
      <c r="H12" s="155" t="s">
        <v>19</v>
      </c>
      <c r="I12" s="224"/>
      <c r="L12" s="74"/>
    </row>
    <row r="13" spans="1:12" ht="29.25" customHeight="1">
      <c r="A13" s="37">
        <v>887</v>
      </c>
      <c r="B13" s="38" t="s">
        <v>26</v>
      </c>
      <c r="C13" s="43" t="s">
        <v>27</v>
      </c>
      <c r="D13" s="40" t="s">
        <v>17</v>
      </c>
      <c r="E13" s="41" t="s">
        <v>25</v>
      </c>
      <c r="F13" s="41">
        <v>12</v>
      </c>
      <c r="G13" s="42">
        <v>712.2</v>
      </c>
      <c r="H13" s="155" t="s">
        <v>19</v>
      </c>
      <c r="I13" s="224"/>
      <c r="L13" s="74"/>
    </row>
    <row r="14" spans="1:12" ht="30" customHeight="1">
      <c r="A14" s="37">
        <v>888</v>
      </c>
      <c r="B14" s="38" t="s">
        <v>28</v>
      </c>
      <c r="C14" s="43" t="s">
        <v>29</v>
      </c>
      <c r="D14" s="40" t="s">
        <v>17</v>
      </c>
      <c r="E14" s="41" t="s">
        <v>25</v>
      </c>
      <c r="F14" s="41">
        <v>2</v>
      </c>
      <c r="G14" s="42">
        <v>118</v>
      </c>
      <c r="H14" s="155" t="s">
        <v>19</v>
      </c>
      <c r="I14" s="224"/>
      <c r="L14" s="74"/>
    </row>
    <row r="15" spans="1:12" ht="29.25" customHeight="1">
      <c r="A15" s="37">
        <v>889</v>
      </c>
      <c r="B15" s="38" t="s">
        <v>30</v>
      </c>
      <c r="C15" s="43" t="s">
        <v>31</v>
      </c>
      <c r="D15" s="40" t="s">
        <v>17</v>
      </c>
      <c r="E15" s="41" t="s">
        <v>22</v>
      </c>
      <c r="F15" s="41">
        <v>3</v>
      </c>
      <c r="G15" s="42">
        <v>78.78</v>
      </c>
      <c r="H15" s="155" t="s">
        <v>19</v>
      </c>
      <c r="I15" s="224"/>
      <c r="L15" s="74"/>
    </row>
    <row r="16" spans="1:12" ht="29.25" customHeight="1">
      <c r="A16" s="37">
        <v>890</v>
      </c>
      <c r="B16" s="38" t="s">
        <v>32</v>
      </c>
      <c r="C16" s="43" t="s">
        <v>33</v>
      </c>
      <c r="D16" s="40" t="s">
        <v>17</v>
      </c>
      <c r="E16" s="41" t="s">
        <v>34</v>
      </c>
      <c r="F16" s="41">
        <v>40</v>
      </c>
      <c r="G16" s="42">
        <v>4800</v>
      </c>
      <c r="H16" s="155" t="s">
        <v>19</v>
      </c>
      <c r="I16" s="224"/>
      <c r="L16" s="74"/>
    </row>
    <row r="17" spans="1:12" ht="29.25" customHeight="1">
      <c r="A17" s="37">
        <v>891</v>
      </c>
      <c r="B17" s="38" t="s">
        <v>35</v>
      </c>
      <c r="C17" s="43" t="s">
        <v>36</v>
      </c>
      <c r="D17" s="40" t="s">
        <v>17</v>
      </c>
      <c r="E17" s="41" t="s">
        <v>25</v>
      </c>
      <c r="F17" s="41">
        <v>2</v>
      </c>
      <c r="G17" s="42">
        <v>1086.64</v>
      </c>
      <c r="H17" s="155" t="s">
        <v>19</v>
      </c>
      <c r="I17" s="224"/>
      <c r="L17" s="74"/>
    </row>
    <row r="18" spans="1:12" ht="45" customHeight="1">
      <c r="A18" s="37">
        <v>892</v>
      </c>
      <c r="B18" s="38" t="s">
        <v>37</v>
      </c>
      <c r="C18" s="43" t="s">
        <v>38</v>
      </c>
      <c r="D18" s="40" t="s">
        <v>17</v>
      </c>
      <c r="E18" s="41" t="s">
        <v>25</v>
      </c>
      <c r="F18" s="41">
        <v>1</v>
      </c>
      <c r="G18" s="42">
        <v>1000.34</v>
      </c>
      <c r="H18" s="155" t="s">
        <v>19</v>
      </c>
      <c r="I18" s="224"/>
      <c r="L18" s="74"/>
    </row>
    <row r="19" spans="1:12" ht="29.25" customHeight="1">
      <c r="A19" s="37">
        <v>893</v>
      </c>
      <c r="B19" s="38" t="s">
        <v>39</v>
      </c>
      <c r="C19" s="43" t="s">
        <v>40</v>
      </c>
      <c r="D19" s="40" t="s">
        <v>17</v>
      </c>
      <c r="E19" s="41" t="s">
        <v>25</v>
      </c>
      <c r="F19" s="41">
        <v>1</v>
      </c>
      <c r="G19" s="42">
        <v>209.45</v>
      </c>
      <c r="H19" s="155" t="s">
        <v>19</v>
      </c>
      <c r="I19" s="224"/>
      <c r="L19" s="74"/>
    </row>
    <row r="20" spans="1:12" ht="29.25" customHeight="1">
      <c r="A20" s="37">
        <v>894</v>
      </c>
      <c r="B20" s="38" t="s">
        <v>41</v>
      </c>
      <c r="C20" s="43" t="s">
        <v>42</v>
      </c>
      <c r="D20" s="40" t="s">
        <v>17</v>
      </c>
      <c r="E20" s="41" t="s">
        <v>25</v>
      </c>
      <c r="F20" s="41">
        <v>1</v>
      </c>
      <c r="G20" s="42">
        <v>152</v>
      </c>
      <c r="H20" s="155" t="s">
        <v>19</v>
      </c>
      <c r="I20" s="224"/>
      <c r="L20" s="74"/>
    </row>
    <row r="21" spans="1:12" ht="29.25" customHeight="1">
      <c r="A21" s="37">
        <v>895</v>
      </c>
      <c r="B21" s="38" t="s">
        <v>43</v>
      </c>
      <c r="C21" s="43" t="s">
        <v>44</v>
      </c>
      <c r="D21" s="40" t="s">
        <v>17</v>
      </c>
      <c r="E21" s="41" t="s">
        <v>25</v>
      </c>
      <c r="F21" s="41">
        <v>1</v>
      </c>
      <c r="G21" s="42">
        <v>813.61</v>
      </c>
      <c r="H21" s="155" t="s">
        <v>19</v>
      </c>
      <c r="I21" s="224"/>
      <c r="L21" s="74"/>
    </row>
    <row r="22" spans="1:12" ht="29.25" customHeight="1">
      <c r="A22" s="37">
        <v>896</v>
      </c>
      <c r="B22" s="38" t="s">
        <v>45</v>
      </c>
      <c r="C22" s="43" t="s">
        <v>44</v>
      </c>
      <c r="D22" s="40" t="s">
        <v>17</v>
      </c>
      <c r="E22" s="41" t="s">
        <v>25</v>
      </c>
      <c r="F22" s="41">
        <v>5</v>
      </c>
      <c r="G22" s="42">
        <v>100</v>
      </c>
      <c r="H22" s="155" t="s">
        <v>19</v>
      </c>
      <c r="I22" s="224"/>
      <c r="L22" s="74"/>
    </row>
    <row r="23" spans="1:12" ht="60" customHeight="1">
      <c r="A23" s="37">
        <v>897</v>
      </c>
      <c r="B23" s="38" t="s">
        <v>46</v>
      </c>
      <c r="C23" s="43" t="s">
        <v>47</v>
      </c>
      <c r="D23" s="40" t="s">
        <v>17</v>
      </c>
      <c r="E23" s="41" t="s">
        <v>48</v>
      </c>
      <c r="F23" s="41">
        <v>5</v>
      </c>
      <c r="G23" s="42">
        <v>220</v>
      </c>
      <c r="H23" s="155" t="s">
        <v>19</v>
      </c>
      <c r="I23" s="224"/>
      <c r="L23" s="74"/>
    </row>
    <row r="24" spans="1:12" ht="29.25" customHeight="1">
      <c r="A24" s="37">
        <v>898</v>
      </c>
      <c r="B24" s="38" t="s">
        <v>49</v>
      </c>
      <c r="C24" s="43" t="s">
        <v>24</v>
      </c>
      <c r="D24" s="40" t="s">
        <v>17</v>
      </c>
      <c r="E24" s="41" t="s">
        <v>25</v>
      </c>
      <c r="F24" s="41">
        <v>1</v>
      </c>
      <c r="G24" s="42">
        <v>180</v>
      </c>
      <c r="H24" s="155" t="s">
        <v>19</v>
      </c>
      <c r="I24" s="224"/>
      <c r="L24" s="74"/>
    </row>
    <row r="25" spans="1:12" ht="29.25" customHeight="1">
      <c r="A25" s="37">
        <v>899</v>
      </c>
      <c r="B25" s="38" t="s">
        <v>50</v>
      </c>
      <c r="C25" s="43" t="s">
        <v>24</v>
      </c>
      <c r="D25" s="40" t="s">
        <v>17</v>
      </c>
      <c r="E25" s="41" t="s">
        <v>25</v>
      </c>
      <c r="F25" s="41">
        <v>3</v>
      </c>
      <c r="G25" s="42">
        <v>211.11</v>
      </c>
      <c r="H25" s="155" t="s">
        <v>19</v>
      </c>
      <c r="I25" s="224"/>
      <c r="L25" s="74"/>
    </row>
    <row r="26" spans="1:12" ht="30" customHeight="1">
      <c r="A26" s="37">
        <v>900</v>
      </c>
      <c r="B26" s="375" t="s">
        <v>51</v>
      </c>
      <c r="C26" s="43" t="s">
        <v>52</v>
      </c>
      <c r="D26" s="341" t="s">
        <v>17</v>
      </c>
      <c r="E26" s="342" t="s">
        <v>25</v>
      </c>
      <c r="F26" s="342">
        <v>40</v>
      </c>
      <c r="G26" s="42">
        <v>796.4</v>
      </c>
      <c r="H26" s="155" t="s">
        <v>19</v>
      </c>
      <c r="I26" s="224"/>
      <c r="L26" s="74">
        <f>G26-K26</f>
        <v>796.4</v>
      </c>
    </row>
    <row r="27" spans="1:12" ht="30" customHeight="1">
      <c r="A27" s="37">
        <v>901</v>
      </c>
      <c r="B27" s="375" t="s">
        <v>53</v>
      </c>
      <c r="C27" s="43" t="s">
        <v>54</v>
      </c>
      <c r="D27" s="341" t="s">
        <v>17</v>
      </c>
      <c r="E27" s="342" t="s">
        <v>25</v>
      </c>
      <c r="F27" s="342">
        <v>3</v>
      </c>
      <c r="G27" s="42">
        <v>272.04</v>
      </c>
      <c r="H27" s="155" t="s">
        <v>19</v>
      </c>
      <c r="I27" s="224"/>
      <c r="L27" s="74"/>
    </row>
    <row r="28" spans="1:12" ht="45" customHeight="1">
      <c r="A28" s="37">
        <v>902</v>
      </c>
      <c r="B28" s="375" t="s">
        <v>55</v>
      </c>
      <c r="C28" s="43" t="s">
        <v>56</v>
      </c>
      <c r="D28" s="341" t="s">
        <v>17</v>
      </c>
      <c r="E28" s="342" t="s">
        <v>25</v>
      </c>
      <c r="F28" s="342">
        <v>1</v>
      </c>
      <c r="G28" s="42">
        <v>6443.8</v>
      </c>
      <c r="H28" s="155" t="s">
        <v>19</v>
      </c>
      <c r="I28" s="224"/>
      <c r="L28" s="74"/>
    </row>
    <row r="29" spans="1:12" ht="30" customHeight="1">
      <c r="A29" s="37">
        <v>903</v>
      </c>
      <c r="B29" s="38" t="s">
        <v>57</v>
      </c>
      <c r="C29" s="341" t="s">
        <v>58</v>
      </c>
      <c r="D29" s="40" t="s">
        <v>17</v>
      </c>
      <c r="E29" s="41" t="s">
        <v>25</v>
      </c>
      <c r="F29" s="342">
        <v>1</v>
      </c>
      <c r="G29" s="42">
        <v>2500.2</v>
      </c>
      <c r="H29" s="155" t="s">
        <v>19</v>
      </c>
      <c r="I29" s="224"/>
      <c r="L29" s="74"/>
    </row>
    <row r="30" spans="1:14" s="10" customFormat="1" ht="30" customHeight="1">
      <c r="A30" s="296"/>
      <c r="B30" s="260" t="s">
        <v>59</v>
      </c>
      <c r="C30" s="261"/>
      <c r="D30" s="262"/>
      <c r="E30" s="263"/>
      <c r="F30" s="263"/>
      <c r="G30" s="297">
        <f>SUM(G10:G29)</f>
        <v>22030.000000000004</v>
      </c>
      <c r="H30" s="265"/>
      <c r="I30" s="224"/>
      <c r="K30" s="267">
        <f>SUM(K10:K29)</f>
        <v>0</v>
      </c>
      <c r="L30" s="267">
        <f>SUM(L10:L29)</f>
        <v>1846.4</v>
      </c>
      <c r="M30" s="10">
        <v>8676.17</v>
      </c>
      <c r="N30" s="267">
        <f>M30-K30</f>
        <v>8676.17</v>
      </c>
    </row>
    <row r="31" spans="1:14" ht="45" customHeight="1">
      <c r="A31" s="37">
        <v>904</v>
      </c>
      <c r="B31" s="38" t="s">
        <v>60</v>
      </c>
      <c r="C31" s="40" t="s">
        <v>61</v>
      </c>
      <c r="D31" s="345" t="s">
        <v>62</v>
      </c>
      <c r="E31" s="369" t="s">
        <v>34</v>
      </c>
      <c r="F31" s="377">
        <v>3</v>
      </c>
      <c r="G31" s="42">
        <v>130.8</v>
      </c>
      <c r="H31" s="40" t="s">
        <v>63</v>
      </c>
      <c r="I31" s="224"/>
      <c r="K31" s="74"/>
      <c r="L31" s="74"/>
      <c r="N31" s="74"/>
    </row>
    <row r="32" spans="1:14" ht="30" customHeight="1">
      <c r="A32" s="37">
        <v>905</v>
      </c>
      <c r="B32" s="38" t="s">
        <v>64</v>
      </c>
      <c r="C32" s="40" t="s">
        <v>65</v>
      </c>
      <c r="D32" s="345" t="s">
        <v>62</v>
      </c>
      <c r="E32" s="369" t="s">
        <v>34</v>
      </c>
      <c r="F32" s="377">
        <v>180</v>
      </c>
      <c r="G32" s="42">
        <f>1400+1680</f>
        <v>3080</v>
      </c>
      <c r="H32" s="40" t="s">
        <v>63</v>
      </c>
      <c r="I32" s="224"/>
      <c r="K32" s="74"/>
      <c r="L32" s="74"/>
      <c r="N32" s="74"/>
    </row>
    <row r="33" spans="1:14" ht="45" customHeight="1">
      <c r="A33" s="37">
        <v>906</v>
      </c>
      <c r="B33" s="38" t="s">
        <v>66</v>
      </c>
      <c r="C33" s="43" t="s">
        <v>67</v>
      </c>
      <c r="D33" s="345" t="s">
        <v>62</v>
      </c>
      <c r="E33" s="369" t="s">
        <v>68</v>
      </c>
      <c r="F33" s="377">
        <v>88</v>
      </c>
      <c r="G33" s="42">
        <v>654.72</v>
      </c>
      <c r="H33" s="40" t="s">
        <v>63</v>
      </c>
      <c r="I33" s="224"/>
      <c r="K33" s="74"/>
      <c r="L33" s="74"/>
      <c r="N33" s="74"/>
    </row>
    <row r="34" spans="1:14" ht="30" customHeight="1">
      <c r="A34" s="37">
        <v>907</v>
      </c>
      <c r="B34" s="38" t="s">
        <v>69</v>
      </c>
      <c r="C34" s="40" t="s">
        <v>70</v>
      </c>
      <c r="D34" s="345" t="s">
        <v>62</v>
      </c>
      <c r="E34" s="369" t="s">
        <v>34</v>
      </c>
      <c r="F34" s="377">
        <v>1</v>
      </c>
      <c r="G34" s="42">
        <v>20</v>
      </c>
      <c r="H34" s="40" t="s">
        <v>63</v>
      </c>
      <c r="I34" s="224"/>
      <c r="K34" s="74"/>
      <c r="L34" s="74"/>
      <c r="N34" s="74"/>
    </row>
    <row r="35" spans="1:14" ht="30" customHeight="1">
      <c r="A35" s="37">
        <v>908</v>
      </c>
      <c r="B35" s="38" t="s">
        <v>71</v>
      </c>
      <c r="C35" s="71" t="s">
        <v>72</v>
      </c>
      <c r="D35" s="345" t="s">
        <v>62</v>
      </c>
      <c r="E35" s="369" t="s">
        <v>34</v>
      </c>
      <c r="F35" s="377">
        <v>15</v>
      </c>
      <c r="G35" s="42">
        <f>85+153</f>
        <v>238</v>
      </c>
      <c r="H35" s="40" t="s">
        <v>63</v>
      </c>
      <c r="I35" s="224"/>
      <c r="K35" s="74"/>
      <c r="L35" s="74"/>
      <c r="N35" s="74"/>
    </row>
    <row r="36" spans="1:14" ht="45" customHeight="1">
      <c r="A36" s="37">
        <v>909</v>
      </c>
      <c r="B36" s="38" t="s">
        <v>73</v>
      </c>
      <c r="C36" s="40" t="s">
        <v>74</v>
      </c>
      <c r="D36" s="345" t="s">
        <v>62</v>
      </c>
      <c r="E36" s="369" t="s">
        <v>34</v>
      </c>
      <c r="F36" s="377">
        <v>15</v>
      </c>
      <c r="G36" s="42">
        <f>122+230</f>
        <v>352</v>
      </c>
      <c r="H36" s="40" t="s">
        <v>63</v>
      </c>
      <c r="I36" s="224"/>
      <c r="K36" s="74"/>
      <c r="L36" s="74"/>
      <c r="N36" s="74"/>
    </row>
    <row r="37" spans="1:14" ht="30" customHeight="1">
      <c r="A37" s="37">
        <v>910</v>
      </c>
      <c r="B37" s="38" t="s">
        <v>75</v>
      </c>
      <c r="C37" s="71" t="s">
        <v>76</v>
      </c>
      <c r="D37" s="345" t="s">
        <v>62</v>
      </c>
      <c r="E37" s="369" t="s">
        <v>77</v>
      </c>
      <c r="F37" s="377">
        <v>9</v>
      </c>
      <c r="G37" s="42">
        <f>290.8+381</f>
        <v>671.8</v>
      </c>
      <c r="H37" s="40" t="s">
        <v>63</v>
      </c>
      <c r="I37" s="224"/>
      <c r="K37" s="74"/>
      <c r="L37" s="74"/>
      <c r="N37" s="74"/>
    </row>
    <row r="38" spans="1:14" ht="30" customHeight="1">
      <c r="A38" s="37">
        <v>911</v>
      </c>
      <c r="B38" s="38" t="s">
        <v>78</v>
      </c>
      <c r="C38" s="40" t="s">
        <v>79</v>
      </c>
      <c r="D38" s="345" t="s">
        <v>62</v>
      </c>
      <c r="E38" s="369" t="s">
        <v>34</v>
      </c>
      <c r="F38" s="377">
        <v>7</v>
      </c>
      <c r="G38" s="42">
        <f>922.8+1231.6</f>
        <v>2154.3999999999996</v>
      </c>
      <c r="H38" s="40" t="s">
        <v>63</v>
      </c>
      <c r="I38" s="224"/>
      <c r="K38" s="74"/>
      <c r="L38" s="74"/>
      <c r="N38" s="74"/>
    </row>
    <row r="39" spans="1:14" ht="45" customHeight="1">
      <c r="A39" s="37">
        <v>912</v>
      </c>
      <c r="B39" s="38" t="s">
        <v>80</v>
      </c>
      <c r="C39" s="40" t="s">
        <v>81</v>
      </c>
      <c r="D39" s="345" t="s">
        <v>62</v>
      </c>
      <c r="E39" s="369" t="s">
        <v>82</v>
      </c>
      <c r="F39" s="377">
        <f>1.8+11.7</f>
        <v>13.5</v>
      </c>
      <c r="G39" s="42">
        <f>77.4+465.66</f>
        <v>543.0600000000001</v>
      </c>
      <c r="H39" s="40" t="s">
        <v>63</v>
      </c>
      <c r="I39" s="224"/>
      <c r="K39" s="74"/>
      <c r="L39" s="74"/>
      <c r="N39" s="74"/>
    </row>
    <row r="40" spans="1:14" ht="30" customHeight="1">
      <c r="A40" s="37">
        <v>913</v>
      </c>
      <c r="B40" s="38" t="s">
        <v>83</v>
      </c>
      <c r="C40" s="40" t="s">
        <v>72</v>
      </c>
      <c r="D40" s="345" t="s">
        <v>62</v>
      </c>
      <c r="E40" s="369" t="s">
        <v>34</v>
      </c>
      <c r="F40" s="377">
        <v>21</v>
      </c>
      <c r="G40" s="42">
        <f>227.5+317.8</f>
        <v>545.3</v>
      </c>
      <c r="H40" s="40" t="s">
        <v>63</v>
      </c>
      <c r="I40" s="224"/>
      <c r="K40" s="74"/>
      <c r="L40" s="74"/>
      <c r="N40" s="74"/>
    </row>
    <row r="41" spans="1:14" ht="45" customHeight="1">
      <c r="A41" s="37">
        <v>914</v>
      </c>
      <c r="B41" s="38" t="s">
        <v>84</v>
      </c>
      <c r="C41" s="40" t="s">
        <v>85</v>
      </c>
      <c r="D41" s="345" t="s">
        <v>62</v>
      </c>
      <c r="E41" s="369" t="s">
        <v>34</v>
      </c>
      <c r="F41" s="377">
        <v>14.3</v>
      </c>
      <c r="G41" s="42">
        <v>1668.81</v>
      </c>
      <c r="H41" s="40" t="s">
        <v>63</v>
      </c>
      <c r="I41" s="224"/>
      <c r="K41" s="74"/>
      <c r="L41" s="74"/>
      <c r="N41" s="74"/>
    </row>
    <row r="42" spans="1:14" ht="30" customHeight="1">
      <c r="A42" s="37">
        <v>915</v>
      </c>
      <c r="B42" s="344" t="s">
        <v>86</v>
      </c>
      <c r="C42" s="345" t="s">
        <v>87</v>
      </c>
      <c r="D42" s="345" t="s">
        <v>62</v>
      </c>
      <c r="E42" s="369" t="s">
        <v>34</v>
      </c>
      <c r="F42" s="377">
        <v>15</v>
      </c>
      <c r="G42" s="42">
        <v>1917</v>
      </c>
      <c r="H42" s="40" t="s">
        <v>63</v>
      </c>
      <c r="I42" s="224"/>
      <c r="K42" s="74"/>
      <c r="L42" s="74"/>
      <c r="N42" s="74"/>
    </row>
    <row r="43" spans="1:14" ht="30" customHeight="1">
      <c r="A43" s="37">
        <v>916</v>
      </c>
      <c r="B43" s="38" t="s">
        <v>88</v>
      </c>
      <c r="C43" s="40" t="s">
        <v>85</v>
      </c>
      <c r="D43" s="345" t="s">
        <v>62</v>
      </c>
      <c r="E43" s="369" t="s">
        <v>34</v>
      </c>
      <c r="F43" s="377">
        <v>8</v>
      </c>
      <c r="G43" s="42">
        <f>369.9+623</f>
        <v>992.9</v>
      </c>
      <c r="H43" s="40" t="s">
        <v>63</v>
      </c>
      <c r="I43" s="224"/>
      <c r="K43" s="74"/>
      <c r="L43" s="74"/>
      <c r="N43" s="74"/>
    </row>
    <row r="44" spans="1:14" ht="30" customHeight="1">
      <c r="A44" s="37">
        <v>917</v>
      </c>
      <c r="B44" s="38" t="s">
        <v>89</v>
      </c>
      <c r="C44" s="40" t="s">
        <v>90</v>
      </c>
      <c r="D44" s="345" t="s">
        <v>62</v>
      </c>
      <c r="E44" s="369" t="s">
        <v>34</v>
      </c>
      <c r="F44" s="377">
        <v>18</v>
      </c>
      <c r="G44" s="42">
        <f>298.2+594</f>
        <v>892.2</v>
      </c>
      <c r="H44" s="40" t="s">
        <v>63</v>
      </c>
      <c r="I44" s="224"/>
      <c r="K44" s="74"/>
      <c r="L44" s="74"/>
      <c r="N44" s="74"/>
    </row>
    <row r="45" spans="1:14" ht="30" customHeight="1">
      <c r="A45" s="37">
        <v>918</v>
      </c>
      <c r="B45" s="38" t="s">
        <v>91</v>
      </c>
      <c r="C45" s="40" t="s">
        <v>92</v>
      </c>
      <c r="D45" s="345" t="s">
        <v>62</v>
      </c>
      <c r="E45" s="369" t="s">
        <v>34</v>
      </c>
      <c r="F45" s="377">
        <v>26</v>
      </c>
      <c r="G45" s="42">
        <f>1838.1+2508</f>
        <v>4346.1</v>
      </c>
      <c r="H45" s="40" t="s">
        <v>63</v>
      </c>
      <c r="I45" s="224"/>
      <c r="K45" s="74"/>
      <c r="L45" s="74"/>
      <c r="N45" s="74"/>
    </row>
    <row r="46" spans="1:14" ht="30" customHeight="1">
      <c r="A46" s="37">
        <v>919</v>
      </c>
      <c r="B46" s="38" t="s">
        <v>93</v>
      </c>
      <c r="C46" s="40" t="s">
        <v>94</v>
      </c>
      <c r="D46" s="345" t="s">
        <v>62</v>
      </c>
      <c r="E46" s="369" t="s">
        <v>34</v>
      </c>
      <c r="F46" s="377">
        <f>1.52+9.88</f>
        <v>11.4</v>
      </c>
      <c r="G46" s="42">
        <f>195.93+1284.4</f>
        <v>1480.3300000000002</v>
      </c>
      <c r="H46" s="40" t="s">
        <v>63</v>
      </c>
      <c r="I46" s="224"/>
      <c r="K46" s="74"/>
      <c r="L46" s="74"/>
      <c r="N46" s="74"/>
    </row>
    <row r="47" spans="1:14" ht="30" customHeight="1">
      <c r="A47" s="37">
        <v>920</v>
      </c>
      <c r="B47" s="40" t="s">
        <v>95</v>
      </c>
      <c r="C47" s="40" t="s">
        <v>96</v>
      </c>
      <c r="D47" s="345" t="s">
        <v>62</v>
      </c>
      <c r="E47" s="369" t="s">
        <v>34</v>
      </c>
      <c r="F47" s="377">
        <v>15</v>
      </c>
      <c r="G47" s="42">
        <f>929.5+2116</f>
        <v>3045.5</v>
      </c>
      <c r="H47" s="40" t="s">
        <v>63</v>
      </c>
      <c r="I47" s="224"/>
      <c r="K47" s="74"/>
      <c r="L47" s="74"/>
      <c r="N47" s="74"/>
    </row>
    <row r="48" spans="1:14" ht="30" customHeight="1">
      <c r="A48" s="37">
        <v>921</v>
      </c>
      <c r="B48" s="40" t="s">
        <v>97</v>
      </c>
      <c r="C48" s="345" t="s">
        <v>87</v>
      </c>
      <c r="D48" s="345" t="s">
        <v>62</v>
      </c>
      <c r="E48" s="369" t="s">
        <v>34</v>
      </c>
      <c r="F48" s="377">
        <f>39</f>
        <v>39</v>
      </c>
      <c r="G48" s="42">
        <f>3464.5+5060</f>
        <v>8524.5</v>
      </c>
      <c r="H48" s="40" t="s">
        <v>63</v>
      </c>
      <c r="I48" s="224"/>
      <c r="K48" s="74"/>
      <c r="L48" s="74"/>
      <c r="N48" s="74"/>
    </row>
    <row r="49" spans="1:14" ht="45" customHeight="1">
      <c r="A49" s="37">
        <v>922</v>
      </c>
      <c r="B49" s="54" t="s">
        <v>98</v>
      </c>
      <c r="C49" s="40" t="s">
        <v>61</v>
      </c>
      <c r="D49" s="345" t="s">
        <v>62</v>
      </c>
      <c r="E49" s="369" t="s">
        <v>25</v>
      </c>
      <c r="F49" s="377">
        <v>218</v>
      </c>
      <c r="G49" s="42">
        <f>2757.7+121.96</f>
        <v>2879.66</v>
      </c>
      <c r="H49" s="40" t="s">
        <v>63</v>
      </c>
      <c r="I49" s="224"/>
      <c r="K49" s="74"/>
      <c r="L49" s="74"/>
      <c r="N49" s="74"/>
    </row>
    <row r="50" spans="1:14" ht="30" customHeight="1">
      <c r="A50" s="37">
        <v>923</v>
      </c>
      <c r="B50" s="40" t="s">
        <v>99</v>
      </c>
      <c r="C50" s="40" t="s">
        <v>100</v>
      </c>
      <c r="D50" s="345" t="s">
        <v>62</v>
      </c>
      <c r="E50" s="369" t="s">
        <v>34</v>
      </c>
      <c r="F50" s="377">
        <f>11</f>
        <v>11</v>
      </c>
      <c r="G50" s="42">
        <f>592.42+2755.8</f>
        <v>3348.2200000000003</v>
      </c>
      <c r="H50" s="40" t="s">
        <v>63</v>
      </c>
      <c r="I50" s="224"/>
      <c r="K50" s="74"/>
      <c r="L50" s="74"/>
      <c r="N50" s="74"/>
    </row>
    <row r="51" spans="1:14" ht="30" customHeight="1">
      <c r="A51" s="37">
        <v>924</v>
      </c>
      <c r="B51" s="40" t="s">
        <v>101</v>
      </c>
      <c r="C51" s="40" t="s">
        <v>102</v>
      </c>
      <c r="D51" s="345" t="s">
        <v>62</v>
      </c>
      <c r="E51" s="369" t="s">
        <v>34</v>
      </c>
      <c r="F51" s="377">
        <v>1.5</v>
      </c>
      <c r="G51" s="42">
        <v>892.5</v>
      </c>
      <c r="H51" s="40" t="s">
        <v>63</v>
      </c>
      <c r="I51" s="224"/>
      <c r="K51" s="74"/>
      <c r="L51" s="74"/>
      <c r="N51" s="74"/>
    </row>
    <row r="52" spans="1:14" ht="30" customHeight="1">
      <c r="A52" s="37">
        <v>925</v>
      </c>
      <c r="B52" s="40" t="s">
        <v>103</v>
      </c>
      <c r="C52" s="40" t="s">
        <v>104</v>
      </c>
      <c r="D52" s="345" t="s">
        <v>62</v>
      </c>
      <c r="E52" s="369" t="s">
        <v>25</v>
      </c>
      <c r="F52" s="377">
        <v>600</v>
      </c>
      <c r="G52" s="42">
        <v>2784</v>
      </c>
      <c r="H52" s="40" t="s">
        <v>63</v>
      </c>
      <c r="I52" s="224"/>
      <c r="K52" s="74"/>
      <c r="L52" s="74"/>
      <c r="N52" s="74"/>
    </row>
    <row r="53" spans="1:14" ht="30" customHeight="1">
      <c r="A53" s="37">
        <v>926</v>
      </c>
      <c r="B53" s="38" t="s">
        <v>105</v>
      </c>
      <c r="C53" s="40" t="s">
        <v>70</v>
      </c>
      <c r="D53" s="345" t="s">
        <v>62</v>
      </c>
      <c r="E53" s="369" t="s">
        <v>34</v>
      </c>
      <c r="F53" s="377">
        <v>18</v>
      </c>
      <c r="G53" s="42">
        <f>203.4+394.8</f>
        <v>598.2</v>
      </c>
      <c r="H53" s="40" t="s">
        <v>63</v>
      </c>
      <c r="I53" s="224"/>
      <c r="K53" s="74"/>
      <c r="L53" s="74"/>
      <c r="N53" s="74"/>
    </row>
    <row r="54" spans="1:14" s="10" customFormat="1" ht="30" customHeight="1">
      <c r="A54" s="296"/>
      <c r="B54" s="260" t="s">
        <v>106</v>
      </c>
      <c r="C54" s="261"/>
      <c r="D54" s="262"/>
      <c r="E54" s="263"/>
      <c r="F54" s="263"/>
      <c r="G54" s="297">
        <f>SUM(G31:G53)</f>
        <v>41760</v>
      </c>
      <c r="H54" s="265"/>
      <c r="I54" s="224"/>
      <c r="K54" s="267"/>
      <c r="L54" s="267"/>
      <c r="N54" s="267"/>
    </row>
    <row r="55" spans="1:12" s="340" customFormat="1" ht="30" customHeight="1">
      <c r="A55" s="37">
        <v>927</v>
      </c>
      <c r="B55" s="375" t="s">
        <v>107</v>
      </c>
      <c r="C55" s="341" t="s">
        <v>108</v>
      </c>
      <c r="D55" s="40" t="s">
        <v>109</v>
      </c>
      <c r="E55" s="41" t="s">
        <v>110</v>
      </c>
      <c r="F55" s="41">
        <v>6</v>
      </c>
      <c r="G55" s="42">
        <v>566.4</v>
      </c>
      <c r="H55" s="40" t="s">
        <v>63</v>
      </c>
      <c r="I55" s="224"/>
      <c r="L55" s="74">
        <f>G55-K55</f>
        <v>566.4</v>
      </c>
    </row>
    <row r="56" spans="1:12" s="340" customFormat="1" ht="30" customHeight="1">
      <c r="A56" s="37">
        <v>928</v>
      </c>
      <c r="B56" s="38" t="s">
        <v>111</v>
      </c>
      <c r="C56" s="40" t="s">
        <v>112</v>
      </c>
      <c r="D56" s="40" t="s">
        <v>109</v>
      </c>
      <c r="E56" s="41" t="s">
        <v>113</v>
      </c>
      <c r="F56" s="41" t="s">
        <v>114</v>
      </c>
      <c r="G56" s="42">
        <v>1080</v>
      </c>
      <c r="H56" s="40" t="s">
        <v>63</v>
      </c>
      <c r="I56" s="224"/>
      <c r="K56" s="340">
        <f>200</f>
        <v>200</v>
      </c>
      <c r="L56" s="74">
        <f aca="true" t="shared" si="0" ref="L56:L64">G56-K56</f>
        <v>880</v>
      </c>
    </row>
    <row r="57" spans="1:12" ht="30" customHeight="1">
      <c r="A57" s="37">
        <v>929</v>
      </c>
      <c r="B57" s="38" t="s">
        <v>115</v>
      </c>
      <c r="C57" s="40" t="s">
        <v>116</v>
      </c>
      <c r="D57" s="40" t="s">
        <v>109</v>
      </c>
      <c r="E57" s="41" t="s">
        <v>113</v>
      </c>
      <c r="F57" s="378" t="s">
        <v>117</v>
      </c>
      <c r="G57" s="42">
        <v>1053</v>
      </c>
      <c r="H57" s="40" t="s">
        <v>63</v>
      </c>
      <c r="I57" s="224"/>
      <c r="K57" s="12">
        <f>350</f>
        <v>350</v>
      </c>
      <c r="L57" s="343">
        <f t="shared" si="0"/>
        <v>703</v>
      </c>
    </row>
    <row r="58" spans="1:12" s="340" customFormat="1" ht="45" customHeight="1">
      <c r="A58" s="37">
        <v>930</v>
      </c>
      <c r="B58" s="375" t="s">
        <v>118</v>
      </c>
      <c r="C58" s="341" t="s">
        <v>119</v>
      </c>
      <c r="D58" s="341" t="s">
        <v>109</v>
      </c>
      <c r="E58" s="41" t="s">
        <v>120</v>
      </c>
      <c r="F58" s="41" t="s">
        <v>121</v>
      </c>
      <c r="G58" s="42">
        <v>3000.59</v>
      </c>
      <c r="H58" s="40" t="s">
        <v>63</v>
      </c>
      <c r="I58" s="224"/>
      <c r="K58" s="340">
        <f>934.4</f>
        <v>934.4</v>
      </c>
      <c r="L58" s="74">
        <f t="shared" si="0"/>
        <v>2066.19</v>
      </c>
    </row>
    <row r="59" spans="1:12" s="340" customFormat="1" ht="30" customHeight="1">
      <c r="A59" s="37">
        <v>931</v>
      </c>
      <c r="B59" s="38" t="s">
        <v>122</v>
      </c>
      <c r="C59" s="40" t="s">
        <v>123</v>
      </c>
      <c r="D59" s="341" t="s">
        <v>109</v>
      </c>
      <c r="E59" s="342" t="s">
        <v>113</v>
      </c>
      <c r="F59" s="41" t="s">
        <v>117</v>
      </c>
      <c r="G59" s="42">
        <v>1413</v>
      </c>
      <c r="H59" s="40" t="s">
        <v>63</v>
      </c>
      <c r="I59" s="224"/>
      <c r="K59" s="340">
        <f>470.96</f>
        <v>470.96</v>
      </c>
      <c r="L59" s="74">
        <f t="shared" si="0"/>
        <v>942.04</v>
      </c>
    </row>
    <row r="60" spans="1:12" s="6" customFormat="1" ht="29.25" customHeight="1">
      <c r="A60" s="37">
        <v>932</v>
      </c>
      <c r="B60" s="160" t="s">
        <v>124</v>
      </c>
      <c r="C60" s="161" t="s">
        <v>125</v>
      </c>
      <c r="D60" s="133" t="s">
        <v>109</v>
      </c>
      <c r="E60" s="41" t="s">
        <v>126</v>
      </c>
      <c r="F60" s="41">
        <v>49.8</v>
      </c>
      <c r="G60" s="42">
        <v>147.41</v>
      </c>
      <c r="H60" s="40" t="s">
        <v>19</v>
      </c>
      <c r="I60" s="224"/>
      <c r="L60" s="166">
        <f t="shared" si="0"/>
        <v>147.41</v>
      </c>
    </row>
    <row r="61" spans="1:12" s="6" customFormat="1" ht="29.25" customHeight="1">
      <c r="A61" s="37">
        <v>933</v>
      </c>
      <c r="B61" s="160" t="s">
        <v>127</v>
      </c>
      <c r="C61" s="161" t="s">
        <v>125</v>
      </c>
      <c r="D61" s="133" t="s">
        <v>109</v>
      </c>
      <c r="E61" s="41" t="s">
        <v>126</v>
      </c>
      <c r="F61" s="41">
        <v>1007.14</v>
      </c>
      <c r="G61" s="42">
        <v>2598.42</v>
      </c>
      <c r="H61" s="40" t="s">
        <v>19</v>
      </c>
      <c r="I61" s="224"/>
      <c r="L61" s="166">
        <f t="shared" si="0"/>
        <v>2598.42</v>
      </c>
    </row>
    <row r="62" spans="1:12" s="340" customFormat="1" ht="45" customHeight="1">
      <c r="A62" s="37">
        <v>934</v>
      </c>
      <c r="B62" s="375" t="s">
        <v>128</v>
      </c>
      <c r="C62" s="376" t="s">
        <v>129</v>
      </c>
      <c r="D62" s="40" t="s">
        <v>109</v>
      </c>
      <c r="E62" s="41" t="s">
        <v>25</v>
      </c>
      <c r="F62" s="41">
        <v>2</v>
      </c>
      <c r="G62" s="163">
        <v>166610</v>
      </c>
      <c r="H62" s="155" t="s">
        <v>63</v>
      </c>
      <c r="I62" s="224"/>
      <c r="L62" s="74"/>
    </row>
    <row r="63" spans="1:12" s="340" customFormat="1" ht="30" customHeight="1">
      <c r="A63" s="37">
        <v>935</v>
      </c>
      <c r="B63" s="379" t="s">
        <v>130</v>
      </c>
      <c r="C63" s="341" t="s">
        <v>131</v>
      </c>
      <c r="D63" s="40" t="s">
        <v>109</v>
      </c>
      <c r="E63" s="41" t="s">
        <v>25</v>
      </c>
      <c r="F63" s="342">
        <v>6</v>
      </c>
      <c r="G63" s="42">
        <v>1512</v>
      </c>
      <c r="H63" s="40" t="s">
        <v>132</v>
      </c>
      <c r="I63" s="224"/>
      <c r="L63" s="74">
        <f>G63-K63</f>
        <v>1512</v>
      </c>
    </row>
    <row r="64" spans="1:12" ht="60" customHeight="1">
      <c r="A64" s="37">
        <v>936</v>
      </c>
      <c r="B64" s="38" t="s">
        <v>133</v>
      </c>
      <c r="C64" s="40" t="s">
        <v>134</v>
      </c>
      <c r="D64" s="40" t="s">
        <v>109</v>
      </c>
      <c r="E64" s="41" t="s">
        <v>113</v>
      </c>
      <c r="F64" s="41">
        <v>1</v>
      </c>
      <c r="G64" s="42">
        <v>608.17</v>
      </c>
      <c r="H64" s="40" t="s">
        <v>63</v>
      </c>
      <c r="I64" s="224"/>
      <c r="L64" s="74">
        <f t="shared" si="0"/>
        <v>608.17</v>
      </c>
    </row>
    <row r="65" spans="1:12" s="340" customFormat="1" ht="60" customHeight="1">
      <c r="A65" s="37">
        <v>937</v>
      </c>
      <c r="B65" s="380" t="s">
        <v>135</v>
      </c>
      <c r="C65" s="40" t="s">
        <v>134</v>
      </c>
      <c r="D65" s="40" t="s">
        <v>109</v>
      </c>
      <c r="E65" s="366" t="s">
        <v>25</v>
      </c>
      <c r="F65" s="367">
        <v>1</v>
      </c>
      <c r="G65" s="283">
        <v>7593.01</v>
      </c>
      <c r="H65" s="40" t="s">
        <v>63</v>
      </c>
      <c r="I65" s="224"/>
      <c r="L65" s="371"/>
    </row>
    <row r="66" spans="1:12" s="10" customFormat="1" ht="30" customHeight="1">
      <c r="A66" s="296"/>
      <c r="B66" s="260" t="s">
        <v>136</v>
      </c>
      <c r="C66" s="261"/>
      <c r="D66" s="262"/>
      <c r="E66" s="263"/>
      <c r="F66" s="263"/>
      <c r="G66" s="297">
        <f>SUM(G55:G65)</f>
        <v>186182.00000000003</v>
      </c>
      <c r="H66" s="265"/>
      <c r="I66" s="224"/>
      <c r="K66" s="267" t="e">
        <f>SUM(#REF!)</f>
        <v>#REF!</v>
      </c>
      <c r="L66" s="267" t="e">
        <f>SUM(#REF!)</f>
        <v>#REF!</v>
      </c>
    </row>
    <row r="67" spans="1:11" ht="30" customHeight="1">
      <c r="A67" s="37">
        <v>938</v>
      </c>
      <c r="B67" s="38" t="s">
        <v>137</v>
      </c>
      <c r="C67" s="52" t="s">
        <v>138</v>
      </c>
      <c r="D67" s="40" t="s">
        <v>139</v>
      </c>
      <c r="E67" s="41" t="s">
        <v>140</v>
      </c>
      <c r="F67" s="53">
        <f>G67/67.76</f>
        <v>2906.5082644628096</v>
      </c>
      <c r="G67" s="295">
        <v>196945</v>
      </c>
      <c r="H67" s="40" t="s">
        <v>63</v>
      </c>
      <c r="I67" s="224"/>
      <c r="K67" s="74">
        <v>86249.68</v>
      </c>
    </row>
    <row r="68" spans="1:9" s="10" customFormat="1" ht="30" customHeight="1">
      <c r="A68" s="296"/>
      <c r="B68" s="260" t="s">
        <v>141</v>
      </c>
      <c r="C68" s="261"/>
      <c r="D68" s="262"/>
      <c r="E68" s="263"/>
      <c r="F68" s="263"/>
      <c r="G68" s="297">
        <f>SUM(G67:G67)</f>
        <v>196945</v>
      </c>
      <c r="H68" s="265"/>
      <c r="I68" s="224"/>
    </row>
    <row r="69" spans="1:11" ht="30" customHeight="1">
      <c r="A69" s="37">
        <v>939</v>
      </c>
      <c r="B69" s="38" t="s">
        <v>142</v>
      </c>
      <c r="C69" s="54" t="s">
        <v>143</v>
      </c>
      <c r="D69" s="40" t="s">
        <v>144</v>
      </c>
      <c r="E69" s="41" t="s">
        <v>145</v>
      </c>
      <c r="F69" s="56">
        <f>G69/4.143</f>
        <v>3283.8522809558294</v>
      </c>
      <c r="G69" s="295">
        <v>13605</v>
      </c>
      <c r="H69" s="40" t="s">
        <v>63</v>
      </c>
      <c r="I69" s="224"/>
      <c r="K69" s="12">
        <f>6170.5+1001.88</f>
        <v>7172.38</v>
      </c>
    </row>
    <row r="70" spans="1:9" s="10" customFormat="1" ht="30" customHeight="1">
      <c r="A70" s="296"/>
      <c r="B70" s="260" t="s">
        <v>146</v>
      </c>
      <c r="C70" s="261"/>
      <c r="D70" s="262"/>
      <c r="E70" s="262"/>
      <c r="F70" s="262"/>
      <c r="G70" s="297">
        <f>G69</f>
        <v>13605</v>
      </c>
      <c r="H70" s="265"/>
      <c r="I70" s="224"/>
    </row>
    <row r="71" spans="1:9" ht="60" customHeight="1">
      <c r="A71" s="37">
        <v>940</v>
      </c>
      <c r="B71" s="38" t="s">
        <v>147</v>
      </c>
      <c r="C71" s="54" t="s">
        <v>148</v>
      </c>
      <c r="D71" s="40" t="s">
        <v>149</v>
      </c>
      <c r="E71" s="41" t="s">
        <v>25</v>
      </c>
      <c r="F71" s="56">
        <v>1</v>
      </c>
      <c r="G71" s="295">
        <v>107900</v>
      </c>
      <c r="H71" s="40" t="s">
        <v>63</v>
      </c>
      <c r="I71" s="224"/>
    </row>
    <row r="72" spans="1:9" s="10" customFormat="1" ht="30" customHeight="1">
      <c r="A72" s="296"/>
      <c r="B72" s="260" t="s">
        <v>150</v>
      </c>
      <c r="C72" s="261"/>
      <c r="D72" s="262"/>
      <c r="E72" s="262"/>
      <c r="F72" s="262"/>
      <c r="G72" s="297">
        <f>G71</f>
        <v>107900</v>
      </c>
      <c r="H72" s="265"/>
      <c r="I72" s="224"/>
    </row>
    <row r="73" spans="2:5" ht="22.5" customHeight="1">
      <c r="B73" s="208" t="s">
        <v>151</v>
      </c>
      <c r="C73" s="167"/>
      <c r="D73" s="168"/>
      <c r="E73" s="207"/>
    </row>
    <row r="74" spans="1:9" ht="22.5" customHeight="1">
      <c r="A74" s="19"/>
      <c r="B74" s="106" t="s">
        <v>152</v>
      </c>
      <c r="C74" s="107"/>
      <c r="D74" s="108" t="s">
        <v>153</v>
      </c>
      <c r="E74" s="109"/>
      <c r="F74" s="109"/>
      <c r="G74" s="304"/>
      <c r="H74" s="171"/>
      <c r="I74" s="223"/>
    </row>
    <row r="75" spans="1:9" s="8" customFormat="1" ht="22.5" customHeight="1">
      <c r="A75" s="19"/>
      <c r="B75" s="111"/>
      <c r="C75" s="9"/>
      <c r="D75" s="112" t="s">
        <v>154</v>
      </c>
      <c r="E75" s="113" t="s">
        <v>155</v>
      </c>
      <c r="F75" s="114"/>
      <c r="G75" s="304"/>
      <c r="H75" s="171"/>
      <c r="I75" s="223"/>
    </row>
    <row r="76" spans="1:9" s="8" customFormat="1" ht="22.5" customHeight="1">
      <c r="A76" s="19"/>
      <c r="B76" s="115" t="s">
        <v>156</v>
      </c>
      <c r="C76" s="116"/>
      <c r="D76" s="108" t="s">
        <v>157</v>
      </c>
      <c r="E76" s="109"/>
      <c r="F76" s="109"/>
      <c r="G76" s="304"/>
      <c r="H76" s="171"/>
      <c r="I76" s="223"/>
    </row>
    <row r="77" spans="1:9" ht="22.5" customHeight="1">
      <c r="A77" s="19"/>
      <c r="B77" s="111"/>
      <c r="C77" s="9"/>
      <c r="D77" s="112" t="s">
        <v>154</v>
      </c>
      <c r="E77" s="113"/>
      <c r="F77" s="114"/>
      <c r="G77" s="304"/>
      <c r="H77" s="8"/>
      <c r="I77" s="141"/>
    </row>
    <row r="78" spans="1:9" s="8" customFormat="1" ht="22.5" customHeight="1">
      <c r="A78" s="19"/>
      <c r="B78" s="115" t="s">
        <v>158</v>
      </c>
      <c r="C78" s="9"/>
      <c r="D78" s="9"/>
      <c r="E78" s="9"/>
      <c r="F78" s="9"/>
      <c r="G78" s="304"/>
      <c r="H78" s="171"/>
      <c r="I78" s="223"/>
    </row>
    <row r="79" spans="1:9" s="2" customFormat="1" ht="30" customHeight="1">
      <c r="A79" s="16"/>
      <c r="B79" s="229" t="s">
        <v>159</v>
      </c>
      <c r="C79" s="167"/>
      <c r="D79" s="291" t="s">
        <v>160</v>
      </c>
      <c r="E79" s="229"/>
      <c r="F79" s="16"/>
      <c r="H79" s="171"/>
      <c r="I79" s="294"/>
    </row>
    <row r="80" spans="2:9" ht="22.5" customHeight="1">
      <c r="B80" s="230" t="s">
        <v>161</v>
      </c>
      <c r="C80" s="167"/>
      <c r="D80" s="168"/>
      <c r="E80" s="207"/>
      <c r="H80" s="8"/>
      <c r="I80" s="30"/>
    </row>
    <row r="81" spans="2:11" ht="15">
      <c r="B81" s="2"/>
      <c r="C81" s="2"/>
      <c r="D81" s="8"/>
      <c r="E81" s="338"/>
      <c r="F81" s="338"/>
      <c r="G81" s="339"/>
      <c r="H81" s="338"/>
      <c r="I81" s="141"/>
      <c r="J81" s="338"/>
      <c r="K81" s="8"/>
    </row>
    <row r="82" spans="4:11" ht="15">
      <c r="D82" s="3"/>
      <c r="E82" s="3"/>
      <c r="F82" s="19"/>
      <c r="G82" s="19"/>
      <c r="H82" s="8"/>
      <c r="I82" s="141"/>
      <c r="J82" s="8"/>
      <c r="K82" s="8"/>
    </row>
    <row r="84" spans="2:3" ht="15">
      <c r="B84" s="5"/>
      <c r="C84" s="5"/>
    </row>
    <row r="85" spans="2:4" ht="15">
      <c r="B85" s="3"/>
      <c r="C85" s="3"/>
      <c r="D85" s="3"/>
    </row>
  </sheetData>
  <sheetProtection/>
  <mergeCells count="20">
    <mergeCell ref="F1:G1"/>
    <mergeCell ref="A2:I2"/>
    <mergeCell ref="A3:I3"/>
    <mergeCell ref="B30:C30"/>
    <mergeCell ref="B54:C54"/>
    <mergeCell ref="B66:C66"/>
    <mergeCell ref="B68:C68"/>
    <mergeCell ref="B70:C70"/>
    <mergeCell ref="B72:C72"/>
    <mergeCell ref="B85:C8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I10:I72"/>
  </mergeCells>
  <hyperlinks>
    <hyperlink ref="C29" r:id="rId1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79"/>
  <sheetViews>
    <sheetView view="pageBreakPreview" zoomScale="90" zoomScaleNormal="90" zoomScaleSheetLayoutView="90" workbookViewId="0" topLeftCell="A37">
      <selection activeCell="B23" sqref="B23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317" t="s">
        <v>416</v>
      </c>
      <c r="B2" s="317"/>
      <c r="C2" s="317"/>
      <c r="D2" s="317"/>
      <c r="E2" s="317"/>
      <c r="F2" s="317"/>
      <c r="G2" s="317"/>
      <c r="H2" s="317"/>
      <c r="I2" s="317"/>
    </row>
    <row r="3" spans="3:9" ht="15" customHeight="1">
      <c r="C3" s="124"/>
      <c r="D3" s="125" t="s">
        <v>4</v>
      </c>
      <c r="E3" s="124"/>
      <c r="F3" s="124"/>
      <c r="G3" s="3"/>
      <c r="H3" s="16"/>
      <c r="I3" s="16"/>
    </row>
    <row r="4" ht="15" customHeight="1"/>
    <row r="5" spans="1:11" ht="15.75" customHeight="1">
      <c r="A5" s="26" t="s">
        <v>5</v>
      </c>
      <c r="B5" s="27" t="s">
        <v>6</v>
      </c>
      <c r="C5" s="28" t="s">
        <v>7</v>
      </c>
      <c r="D5" s="28" t="s">
        <v>249</v>
      </c>
      <c r="E5" s="28" t="s">
        <v>9</v>
      </c>
      <c r="F5" s="28" t="s">
        <v>10</v>
      </c>
      <c r="G5" s="28" t="s">
        <v>250</v>
      </c>
      <c r="H5" s="28" t="s">
        <v>251</v>
      </c>
      <c r="I5" s="28" t="s">
        <v>13</v>
      </c>
      <c r="J5" s="71"/>
      <c r="K5" s="71"/>
    </row>
    <row r="6" spans="1:9" ht="31.5" customHeight="1">
      <c r="A6" s="29"/>
      <c r="B6" s="30"/>
      <c r="C6" s="31"/>
      <c r="D6" s="31"/>
      <c r="E6" s="31"/>
      <c r="F6" s="31"/>
      <c r="G6" s="31"/>
      <c r="H6" s="31"/>
      <c r="I6" s="31"/>
    </row>
    <row r="7" spans="1:9" ht="37.5" customHeight="1">
      <c r="A7" s="32"/>
      <c r="B7" s="33"/>
      <c r="C7" s="34"/>
      <c r="D7" s="34"/>
      <c r="E7" s="34"/>
      <c r="F7" s="34"/>
      <c r="G7" s="34"/>
      <c r="H7" s="34"/>
      <c r="I7" s="34"/>
    </row>
    <row r="8" spans="1:9" ht="20.25" customHeight="1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72">
        <v>9</v>
      </c>
    </row>
    <row r="9" spans="1:9" ht="30" customHeight="1">
      <c r="A9" s="37">
        <v>403</v>
      </c>
      <c r="B9" s="38" t="s">
        <v>15</v>
      </c>
      <c r="C9" s="39" t="s">
        <v>16</v>
      </c>
      <c r="D9" s="40" t="s">
        <v>17</v>
      </c>
      <c r="E9" s="41" t="s">
        <v>18</v>
      </c>
      <c r="F9" s="41">
        <v>12</v>
      </c>
      <c r="G9" s="42">
        <v>2520</v>
      </c>
      <c r="H9" s="40" t="s">
        <v>19</v>
      </c>
      <c r="I9" s="73" t="s">
        <v>253</v>
      </c>
    </row>
    <row r="10" spans="1:9" ht="30" customHeight="1">
      <c r="A10" s="32">
        <v>404</v>
      </c>
      <c r="B10" s="94" t="s">
        <v>417</v>
      </c>
      <c r="C10" s="43" t="s">
        <v>24</v>
      </c>
      <c r="D10" s="40" t="s">
        <v>17</v>
      </c>
      <c r="E10" s="85" t="s">
        <v>25</v>
      </c>
      <c r="F10" s="85">
        <v>1</v>
      </c>
      <c r="G10" s="231">
        <v>170.34</v>
      </c>
      <c r="H10" s="40" t="s">
        <v>19</v>
      </c>
      <c r="I10" s="100"/>
    </row>
    <row r="11" spans="1:9" ht="30" customHeight="1">
      <c r="A11" s="37">
        <v>405</v>
      </c>
      <c r="B11" s="94" t="s">
        <v>418</v>
      </c>
      <c r="C11" s="43" t="s">
        <v>419</v>
      </c>
      <c r="D11" s="40" t="s">
        <v>17</v>
      </c>
      <c r="E11" s="85" t="s">
        <v>25</v>
      </c>
      <c r="F11" s="85">
        <v>6</v>
      </c>
      <c r="G11" s="231">
        <v>311.94</v>
      </c>
      <c r="H11" s="40" t="s">
        <v>19</v>
      </c>
      <c r="I11" s="100"/>
    </row>
    <row r="12" spans="1:9" ht="30" customHeight="1">
      <c r="A12" s="32">
        <v>406</v>
      </c>
      <c r="B12" s="94" t="s">
        <v>420</v>
      </c>
      <c r="C12" s="43" t="s">
        <v>24</v>
      </c>
      <c r="D12" s="40" t="s">
        <v>17</v>
      </c>
      <c r="E12" s="85" t="s">
        <v>25</v>
      </c>
      <c r="F12" s="34">
        <v>10</v>
      </c>
      <c r="G12" s="135">
        <v>746.6</v>
      </c>
      <c r="H12" s="40" t="s">
        <v>19</v>
      </c>
      <c r="I12" s="100"/>
    </row>
    <row r="13" spans="1:14" ht="30" customHeight="1">
      <c r="A13" s="37">
        <v>407</v>
      </c>
      <c r="B13" s="94" t="s">
        <v>421</v>
      </c>
      <c r="C13" s="43" t="s">
        <v>346</v>
      </c>
      <c r="D13" s="40" t="s">
        <v>17</v>
      </c>
      <c r="E13" s="41" t="s">
        <v>193</v>
      </c>
      <c r="F13" s="41">
        <v>8</v>
      </c>
      <c r="G13" s="42">
        <v>7920</v>
      </c>
      <c r="H13" s="40" t="s">
        <v>19</v>
      </c>
      <c r="I13" s="100"/>
      <c r="L13" s="74">
        <f>G13-K13</f>
        <v>7920</v>
      </c>
      <c r="M13" s="12">
        <f>199-125</f>
        <v>74</v>
      </c>
      <c r="N13" s="12">
        <f>27223.2-17100</f>
        <v>10123.2</v>
      </c>
    </row>
    <row r="14" spans="1:12" ht="30" customHeight="1">
      <c r="A14" s="32">
        <v>408</v>
      </c>
      <c r="B14" s="38" t="s">
        <v>422</v>
      </c>
      <c r="C14" s="40" t="s">
        <v>27</v>
      </c>
      <c r="D14" s="40" t="s">
        <v>17</v>
      </c>
      <c r="E14" s="41" t="s">
        <v>25</v>
      </c>
      <c r="F14" s="41">
        <v>29</v>
      </c>
      <c r="G14" s="42">
        <v>1721.15</v>
      </c>
      <c r="H14" s="40" t="s">
        <v>19</v>
      </c>
      <c r="I14" s="100"/>
      <c r="J14" s="12">
        <v>1</v>
      </c>
      <c r="K14" s="12">
        <f>59.21</f>
        <v>59.21</v>
      </c>
      <c r="L14" s="74">
        <f>G14-K14</f>
        <v>1661.94</v>
      </c>
    </row>
    <row r="15" spans="1:12" ht="30" customHeight="1">
      <c r="A15" s="37">
        <v>409</v>
      </c>
      <c r="B15" s="94" t="s">
        <v>257</v>
      </c>
      <c r="C15" s="40" t="s">
        <v>33</v>
      </c>
      <c r="D15" s="40" t="s">
        <v>17</v>
      </c>
      <c r="E15" s="41" t="s">
        <v>193</v>
      </c>
      <c r="F15" s="41">
        <v>90</v>
      </c>
      <c r="G15" s="42">
        <v>10800</v>
      </c>
      <c r="H15" s="40" t="s">
        <v>19</v>
      </c>
      <c r="I15" s="100"/>
      <c r="L15" s="74"/>
    </row>
    <row r="16" spans="1:12" ht="30" customHeight="1">
      <c r="A16" s="32">
        <v>410</v>
      </c>
      <c r="B16" s="232" t="s">
        <v>423</v>
      </c>
      <c r="C16" s="40" t="s">
        <v>183</v>
      </c>
      <c r="D16" s="40" t="s">
        <v>17</v>
      </c>
      <c r="E16" s="41" t="s">
        <v>285</v>
      </c>
      <c r="F16" s="41">
        <v>75</v>
      </c>
      <c r="G16" s="42">
        <v>6618.75</v>
      </c>
      <c r="H16" s="40" t="s">
        <v>19</v>
      </c>
      <c r="I16" s="100"/>
      <c r="L16" s="74"/>
    </row>
    <row r="17" spans="1:12" ht="30" customHeight="1">
      <c r="A17" s="37">
        <v>411</v>
      </c>
      <c r="B17" s="94" t="s">
        <v>424</v>
      </c>
      <c r="C17" s="40" t="s">
        <v>44</v>
      </c>
      <c r="D17" s="40" t="s">
        <v>17</v>
      </c>
      <c r="E17" s="41" t="s">
        <v>25</v>
      </c>
      <c r="F17" s="41">
        <v>1</v>
      </c>
      <c r="G17" s="42">
        <v>1570</v>
      </c>
      <c r="H17" s="40" t="s">
        <v>19</v>
      </c>
      <c r="I17" s="100"/>
      <c r="L17" s="74"/>
    </row>
    <row r="18" spans="1:12" ht="30" customHeight="1">
      <c r="A18" s="32">
        <v>412</v>
      </c>
      <c r="B18" s="94" t="s">
        <v>425</v>
      </c>
      <c r="C18" s="40" t="s">
        <v>24</v>
      </c>
      <c r="D18" s="40" t="s">
        <v>17</v>
      </c>
      <c r="E18" s="41" t="s">
        <v>25</v>
      </c>
      <c r="F18" s="41">
        <v>5</v>
      </c>
      <c r="G18" s="42">
        <v>1000</v>
      </c>
      <c r="H18" s="40" t="s">
        <v>19</v>
      </c>
      <c r="I18" s="100"/>
      <c r="L18" s="74"/>
    </row>
    <row r="19" spans="1:12" ht="30" customHeight="1">
      <c r="A19" s="37">
        <v>413</v>
      </c>
      <c r="B19" s="94" t="s">
        <v>426</v>
      </c>
      <c r="C19" s="40" t="s">
        <v>44</v>
      </c>
      <c r="D19" s="40" t="s">
        <v>17</v>
      </c>
      <c r="E19" s="41" t="s">
        <v>25</v>
      </c>
      <c r="F19" s="41">
        <v>1</v>
      </c>
      <c r="G19" s="42">
        <v>1301.02</v>
      </c>
      <c r="H19" s="40" t="s">
        <v>19</v>
      </c>
      <c r="I19" s="100"/>
      <c r="L19" s="74"/>
    </row>
    <row r="20" spans="1:12" ht="30" customHeight="1">
      <c r="A20" s="32">
        <v>414</v>
      </c>
      <c r="B20" s="38" t="s">
        <v>57</v>
      </c>
      <c r="C20" s="40" t="s">
        <v>58</v>
      </c>
      <c r="D20" s="40" t="s">
        <v>17</v>
      </c>
      <c r="E20" s="41" t="s">
        <v>25</v>
      </c>
      <c r="F20" s="41">
        <v>1</v>
      </c>
      <c r="G20" s="295">
        <v>2500.2</v>
      </c>
      <c r="H20" s="155" t="s">
        <v>19</v>
      </c>
      <c r="I20" s="100"/>
      <c r="L20" s="74"/>
    </row>
    <row r="21" spans="1:12" ht="30" customHeight="1">
      <c r="A21" s="37">
        <v>415</v>
      </c>
      <c r="B21" s="94" t="s">
        <v>427</v>
      </c>
      <c r="C21" s="40" t="s">
        <v>428</v>
      </c>
      <c r="D21" s="40" t="s">
        <v>17</v>
      </c>
      <c r="E21" s="41" t="s">
        <v>25</v>
      </c>
      <c r="F21" s="41">
        <v>1</v>
      </c>
      <c r="G21" s="42">
        <v>5000</v>
      </c>
      <c r="H21" s="40" t="s">
        <v>19</v>
      </c>
      <c r="I21" s="100"/>
      <c r="L21" s="74"/>
    </row>
    <row r="22" spans="1:14" s="10" customFormat="1" ht="30" customHeight="1">
      <c r="A22" s="296"/>
      <c r="B22" s="260" t="s">
        <v>59</v>
      </c>
      <c r="C22" s="261"/>
      <c r="D22" s="262"/>
      <c r="E22" s="263"/>
      <c r="F22" s="263"/>
      <c r="G22" s="297">
        <f>SUM(G9:G21)</f>
        <v>42179.99999999999</v>
      </c>
      <c r="H22" s="265"/>
      <c r="I22" s="100"/>
      <c r="K22" s="267">
        <f>SUM(K9:K21)</f>
        <v>59.21</v>
      </c>
      <c r="L22" s="267">
        <f>SUM(L9:L21)</f>
        <v>9581.94</v>
      </c>
      <c r="M22" s="10">
        <v>17353.2</v>
      </c>
      <c r="N22" s="267">
        <f>M22-K22</f>
        <v>17293.99</v>
      </c>
    </row>
    <row r="23" spans="1:14" ht="30" customHeight="1">
      <c r="A23" s="37">
        <v>416</v>
      </c>
      <c r="B23" s="40" t="s">
        <v>269</v>
      </c>
      <c r="C23" s="40" t="s">
        <v>270</v>
      </c>
      <c r="D23" s="40" t="s">
        <v>62</v>
      </c>
      <c r="E23" s="41" t="s">
        <v>34</v>
      </c>
      <c r="F23" s="69">
        <v>0.5</v>
      </c>
      <c r="G23" s="295">
        <v>187.2</v>
      </c>
      <c r="H23" s="40" t="s">
        <v>63</v>
      </c>
      <c r="I23" s="100"/>
      <c r="K23" s="74"/>
      <c r="L23" s="74"/>
      <c r="N23" s="74"/>
    </row>
    <row r="24" spans="1:14" ht="30" customHeight="1">
      <c r="A24" s="37">
        <v>417</v>
      </c>
      <c r="B24" s="38" t="s">
        <v>216</v>
      </c>
      <c r="C24" s="40" t="s">
        <v>217</v>
      </c>
      <c r="D24" s="40" t="s">
        <v>62</v>
      </c>
      <c r="E24" s="41" t="s">
        <v>34</v>
      </c>
      <c r="F24" s="69">
        <v>17</v>
      </c>
      <c r="G24" s="295">
        <v>329.3</v>
      </c>
      <c r="H24" s="40" t="s">
        <v>63</v>
      </c>
      <c r="I24" s="100"/>
      <c r="K24" s="74"/>
      <c r="L24" s="74"/>
      <c r="N24" s="74"/>
    </row>
    <row r="25" spans="1:14" ht="30" customHeight="1">
      <c r="A25" s="37">
        <v>418</v>
      </c>
      <c r="B25" s="38" t="s">
        <v>64</v>
      </c>
      <c r="C25" s="40" t="s">
        <v>65</v>
      </c>
      <c r="D25" s="40" t="s">
        <v>62</v>
      </c>
      <c r="E25" s="41" t="s">
        <v>34</v>
      </c>
      <c r="F25" s="69">
        <v>400</v>
      </c>
      <c r="G25" s="295">
        <v>6860</v>
      </c>
      <c r="H25" s="40" t="s">
        <v>63</v>
      </c>
      <c r="I25" s="100"/>
      <c r="K25" s="74"/>
      <c r="L25" s="74"/>
      <c r="N25" s="74"/>
    </row>
    <row r="26" spans="1:14" ht="30" customHeight="1">
      <c r="A26" s="37">
        <v>419</v>
      </c>
      <c r="B26" s="71" t="s">
        <v>429</v>
      </c>
      <c r="C26" s="40" t="s">
        <v>219</v>
      </c>
      <c r="D26" s="40" t="s">
        <v>62</v>
      </c>
      <c r="E26" s="41" t="s">
        <v>34</v>
      </c>
      <c r="F26" s="69">
        <v>3</v>
      </c>
      <c r="G26" s="295">
        <v>68.8</v>
      </c>
      <c r="H26" s="40" t="s">
        <v>63</v>
      </c>
      <c r="I26" s="100"/>
      <c r="K26" s="74"/>
      <c r="L26" s="74"/>
      <c r="N26" s="74"/>
    </row>
    <row r="27" spans="1:14" ht="30" customHeight="1">
      <c r="A27" s="37">
        <v>420</v>
      </c>
      <c r="B27" s="38" t="s">
        <v>71</v>
      </c>
      <c r="C27" s="71" t="s">
        <v>72</v>
      </c>
      <c r="D27" s="40" t="s">
        <v>62</v>
      </c>
      <c r="E27" s="41" t="s">
        <v>34</v>
      </c>
      <c r="F27" s="69">
        <v>57</v>
      </c>
      <c r="G27" s="295">
        <v>901</v>
      </c>
      <c r="H27" s="40" t="s">
        <v>63</v>
      </c>
      <c r="I27" s="100"/>
      <c r="K27" s="74"/>
      <c r="L27" s="74"/>
      <c r="N27" s="74"/>
    </row>
    <row r="28" spans="1:14" ht="45" customHeight="1">
      <c r="A28" s="37">
        <v>421</v>
      </c>
      <c r="B28" s="38" t="s">
        <v>73</v>
      </c>
      <c r="C28" s="40" t="s">
        <v>74</v>
      </c>
      <c r="D28" s="40" t="s">
        <v>62</v>
      </c>
      <c r="E28" s="41" t="s">
        <v>34</v>
      </c>
      <c r="F28" s="69">
        <v>17</v>
      </c>
      <c r="G28" s="295">
        <v>400.8</v>
      </c>
      <c r="H28" s="40" t="s">
        <v>63</v>
      </c>
      <c r="I28" s="100"/>
      <c r="K28" s="74"/>
      <c r="L28" s="74"/>
      <c r="N28" s="74"/>
    </row>
    <row r="29" spans="1:14" ht="30" customHeight="1">
      <c r="A29" s="37">
        <v>422</v>
      </c>
      <c r="B29" s="38" t="s">
        <v>75</v>
      </c>
      <c r="C29" s="71" t="s">
        <v>76</v>
      </c>
      <c r="D29" s="40" t="s">
        <v>62</v>
      </c>
      <c r="E29" s="41" t="s">
        <v>77</v>
      </c>
      <c r="F29" s="69">
        <v>20</v>
      </c>
      <c r="G29" s="295">
        <v>1489</v>
      </c>
      <c r="H29" s="40" t="s">
        <v>63</v>
      </c>
      <c r="I29" s="100"/>
      <c r="K29" s="74"/>
      <c r="L29" s="74"/>
      <c r="N29" s="74"/>
    </row>
    <row r="30" spans="1:14" ht="30" customHeight="1">
      <c r="A30" s="37">
        <v>423</v>
      </c>
      <c r="B30" s="38" t="s">
        <v>78</v>
      </c>
      <c r="C30" s="40" t="s">
        <v>79</v>
      </c>
      <c r="D30" s="40" t="s">
        <v>62</v>
      </c>
      <c r="E30" s="41" t="s">
        <v>34</v>
      </c>
      <c r="F30" s="69">
        <v>25</v>
      </c>
      <c r="G30" s="295">
        <v>7694.5</v>
      </c>
      <c r="H30" s="40" t="s">
        <v>63</v>
      </c>
      <c r="I30" s="100"/>
      <c r="K30" s="74"/>
      <c r="L30" s="74"/>
      <c r="N30" s="74"/>
    </row>
    <row r="31" spans="1:14" ht="45" customHeight="1">
      <c r="A31" s="37">
        <v>424</v>
      </c>
      <c r="B31" s="38" t="s">
        <v>80</v>
      </c>
      <c r="C31" s="40" t="s">
        <v>81</v>
      </c>
      <c r="D31" s="40" t="s">
        <v>62</v>
      </c>
      <c r="E31" s="41" t="s">
        <v>82</v>
      </c>
      <c r="F31" s="69">
        <v>34.2</v>
      </c>
      <c r="G31" s="295">
        <v>1389.96</v>
      </c>
      <c r="H31" s="40" t="s">
        <v>63</v>
      </c>
      <c r="I31" s="100"/>
      <c r="K31" s="74"/>
      <c r="L31" s="74"/>
      <c r="N31" s="74"/>
    </row>
    <row r="32" spans="1:14" ht="30" customHeight="1">
      <c r="A32" s="37">
        <v>425</v>
      </c>
      <c r="B32" s="38" t="s">
        <v>83</v>
      </c>
      <c r="C32" s="40" t="s">
        <v>72</v>
      </c>
      <c r="D32" s="40" t="s">
        <v>62</v>
      </c>
      <c r="E32" s="41" t="s">
        <v>34</v>
      </c>
      <c r="F32" s="69">
        <v>67</v>
      </c>
      <c r="G32" s="295">
        <v>1716.9</v>
      </c>
      <c r="H32" s="40" t="s">
        <v>63</v>
      </c>
      <c r="I32" s="100"/>
      <c r="K32" s="74"/>
      <c r="L32" s="74"/>
      <c r="N32" s="74"/>
    </row>
    <row r="33" spans="1:14" ht="30" customHeight="1">
      <c r="A33" s="37">
        <v>426</v>
      </c>
      <c r="B33" s="344" t="s">
        <v>86</v>
      </c>
      <c r="C33" s="345" t="s">
        <v>87</v>
      </c>
      <c r="D33" s="40" t="s">
        <v>62</v>
      </c>
      <c r="E33" s="41" t="s">
        <v>34</v>
      </c>
      <c r="F33" s="69">
        <v>40</v>
      </c>
      <c r="G33" s="295">
        <v>5612.64</v>
      </c>
      <c r="H33" s="40" t="s">
        <v>63</v>
      </c>
      <c r="I33" s="100"/>
      <c r="K33" s="74"/>
      <c r="L33" s="74"/>
      <c r="N33" s="74"/>
    </row>
    <row r="34" spans="1:14" ht="30" customHeight="1">
      <c r="A34" s="37">
        <v>427</v>
      </c>
      <c r="B34" s="38" t="s">
        <v>88</v>
      </c>
      <c r="C34" s="40" t="s">
        <v>85</v>
      </c>
      <c r="D34" s="40" t="s">
        <v>62</v>
      </c>
      <c r="E34" s="41" t="s">
        <v>34</v>
      </c>
      <c r="F34" s="69">
        <v>35</v>
      </c>
      <c r="G34" s="295">
        <v>4348</v>
      </c>
      <c r="H34" s="40" t="s">
        <v>63</v>
      </c>
      <c r="I34" s="100"/>
      <c r="K34" s="74"/>
      <c r="L34" s="74"/>
      <c r="N34" s="74"/>
    </row>
    <row r="35" spans="1:14" ht="30" customHeight="1">
      <c r="A35" s="37">
        <v>428</v>
      </c>
      <c r="B35" s="38" t="s">
        <v>89</v>
      </c>
      <c r="C35" s="40" t="s">
        <v>90</v>
      </c>
      <c r="D35" s="40" t="s">
        <v>62</v>
      </c>
      <c r="E35" s="41" t="s">
        <v>34</v>
      </c>
      <c r="F35" s="69">
        <v>25</v>
      </c>
      <c r="G35" s="295">
        <v>1239.5</v>
      </c>
      <c r="H35" s="40" t="s">
        <v>63</v>
      </c>
      <c r="I35" s="100"/>
      <c r="K35" s="74"/>
      <c r="L35" s="74"/>
      <c r="N35" s="74"/>
    </row>
    <row r="36" spans="1:14" ht="30" customHeight="1">
      <c r="A36" s="37">
        <v>429</v>
      </c>
      <c r="B36" s="38" t="s">
        <v>91</v>
      </c>
      <c r="C36" s="40" t="s">
        <v>92</v>
      </c>
      <c r="D36" s="40" t="s">
        <v>62</v>
      </c>
      <c r="E36" s="41" t="s">
        <v>34</v>
      </c>
      <c r="F36" s="69">
        <v>65</v>
      </c>
      <c r="G36" s="295">
        <v>10866</v>
      </c>
      <c r="H36" s="40" t="s">
        <v>63</v>
      </c>
      <c r="I36" s="100"/>
      <c r="K36" s="74"/>
      <c r="L36" s="74"/>
      <c r="N36" s="74"/>
    </row>
    <row r="37" spans="1:14" ht="30" customHeight="1">
      <c r="A37" s="37">
        <v>430</v>
      </c>
      <c r="B37" s="38" t="s">
        <v>274</v>
      </c>
      <c r="C37" s="40" t="s">
        <v>275</v>
      </c>
      <c r="D37" s="40" t="s">
        <v>62</v>
      </c>
      <c r="E37" s="41" t="s">
        <v>34</v>
      </c>
      <c r="F37" s="69">
        <v>100</v>
      </c>
      <c r="G37" s="295">
        <v>3750</v>
      </c>
      <c r="H37" s="40" t="s">
        <v>63</v>
      </c>
      <c r="I37" s="100"/>
      <c r="K37" s="74"/>
      <c r="L37" s="74"/>
      <c r="N37" s="74"/>
    </row>
    <row r="38" spans="1:14" ht="30" customHeight="1">
      <c r="A38" s="37">
        <v>431</v>
      </c>
      <c r="B38" s="38" t="s">
        <v>222</v>
      </c>
      <c r="C38" s="40" t="s">
        <v>223</v>
      </c>
      <c r="D38" s="40" t="s">
        <v>62</v>
      </c>
      <c r="E38" s="41" t="s">
        <v>34</v>
      </c>
      <c r="F38" s="69">
        <v>32</v>
      </c>
      <c r="G38" s="295">
        <v>622.4</v>
      </c>
      <c r="H38" s="40" t="s">
        <v>63</v>
      </c>
      <c r="I38" s="100"/>
      <c r="K38" s="74"/>
      <c r="L38" s="74"/>
      <c r="N38" s="74"/>
    </row>
    <row r="39" spans="1:14" ht="30" customHeight="1">
      <c r="A39" s="37">
        <v>432</v>
      </c>
      <c r="B39" s="38" t="s">
        <v>93</v>
      </c>
      <c r="C39" s="40" t="s">
        <v>94</v>
      </c>
      <c r="D39" s="40" t="s">
        <v>62</v>
      </c>
      <c r="E39" s="41" t="s">
        <v>34</v>
      </c>
      <c r="F39" s="69">
        <v>26.6</v>
      </c>
      <c r="G39" s="295">
        <v>3455.91</v>
      </c>
      <c r="H39" s="40" t="s">
        <v>63</v>
      </c>
      <c r="I39" s="100"/>
      <c r="K39" s="74"/>
      <c r="L39" s="74"/>
      <c r="N39" s="74"/>
    </row>
    <row r="40" spans="1:14" ht="30" customHeight="1">
      <c r="A40" s="37">
        <v>433</v>
      </c>
      <c r="B40" s="38" t="s">
        <v>224</v>
      </c>
      <c r="C40" s="40" t="s">
        <v>225</v>
      </c>
      <c r="D40" s="40" t="s">
        <v>62</v>
      </c>
      <c r="E40" s="41" t="s">
        <v>34</v>
      </c>
      <c r="F40" s="69">
        <v>8</v>
      </c>
      <c r="G40" s="295">
        <v>100.7</v>
      </c>
      <c r="H40" s="40" t="s">
        <v>63</v>
      </c>
      <c r="I40" s="100"/>
      <c r="K40" s="74"/>
      <c r="L40" s="74"/>
      <c r="N40" s="74"/>
    </row>
    <row r="41" spans="1:14" ht="30" customHeight="1">
      <c r="A41" s="37">
        <v>434</v>
      </c>
      <c r="B41" s="40" t="s">
        <v>226</v>
      </c>
      <c r="C41" s="40" t="s">
        <v>227</v>
      </c>
      <c r="D41" s="40" t="s">
        <v>62</v>
      </c>
      <c r="E41" s="41" t="s">
        <v>34</v>
      </c>
      <c r="F41" s="69">
        <v>10</v>
      </c>
      <c r="G41" s="295">
        <v>1360.38</v>
      </c>
      <c r="H41" s="40" t="s">
        <v>63</v>
      </c>
      <c r="I41" s="100"/>
      <c r="K41" s="74"/>
      <c r="L41" s="74"/>
      <c r="N41" s="74"/>
    </row>
    <row r="42" spans="1:14" ht="45" customHeight="1">
      <c r="A42" s="37">
        <v>435</v>
      </c>
      <c r="B42" s="38" t="s">
        <v>60</v>
      </c>
      <c r="C42" s="40" t="s">
        <v>61</v>
      </c>
      <c r="D42" s="40" t="s">
        <v>62</v>
      </c>
      <c r="E42" s="41" t="s">
        <v>34</v>
      </c>
      <c r="F42" s="69">
        <v>6</v>
      </c>
      <c r="G42" s="295">
        <v>216.6</v>
      </c>
      <c r="H42" s="40" t="s">
        <v>63</v>
      </c>
      <c r="I42" s="100"/>
      <c r="K42" s="74"/>
      <c r="L42" s="74"/>
      <c r="N42" s="74"/>
    </row>
    <row r="43" spans="1:14" ht="30" customHeight="1">
      <c r="A43" s="37">
        <v>436</v>
      </c>
      <c r="B43" s="40" t="s">
        <v>95</v>
      </c>
      <c r="C43" s="40" t="s">
        <v>96</v>
      </c>
      <c r="D43" s="40" t="s">
        <v>62</v>
      </c>
      <c r="E43" s="41" t="s">
        <v>34</v>
      </c>
      <c r="F43" s="69">
        <v>40</v>
      </c>
      <c r="G43" s="295">
        <v>7950</v>
      </c>
      <c r="H43" s="40" t="s">
        <v>63</v>
      </c>
      <c r="I43" s="100"/>
      <c r="K43" s="74"/>
      <c r="L43" s="74"/>
      <c r="N43" s="74"/>
    </row>
    <row r="44" spans="1:14" ht="30" customHeight="1">
      <c r="A44" s="37">
        <v>437</v>
      </c>
      <c r="B44" s="40" t="s">
        <v>97</v>
      </c>
      <c r="C44" s="345" t="s">
        <v>87</v>
      </c>
      <c r="D44" s="40" t="s">
        <v>62</v>
      </c>
      <c r="E44" s="41" t="s">
        <v>34</v>
      </c>
      <c r="F44" s="69">
        <f>100</f>
        <v>100</v>
      </c>
      <c r="G44" s="295">
        <v>21524.5</v>
      </c>
      <c r="H44" s="40" t="s">
        <v>63</v>
      </c>
      <c r="I44" s="100"/>
      <c r="K44" s="74"/>
      <c r="L44" s="74"/>
      <c r="N44" s="74"/>
    </row>
    <row r="45" spans="1:14" ht="45" customHeight="1">
      <c r="A45" s="37">
        <v>438</v>
      </c>
      <c r="B45" s="54" t="s">
        <v>98</v>
      </c>
      <c r="C45" s="40" t="s">
        <v>61</v>
      </c>
      <c r="D45" s="40" t="s">
        <v>62</v>
      </c>
      <c r="E45" s="41" t="s">
        <v>25</v>
      </c>
      <c r="F45" s="69">
        <v>435</v>
      </c>
      <c r="G45" s="295">
        <v>5552.31</v>
      </c>
      <c r="H45" s="40" t="s">
        <v>63</v>
      </c>
      <c r="I45" s="100"/>
      <c r="K45" s="74"/>
      <c r="L45" s="74"/>
      <c r="N45" s="74"/>
    </row>
    <row r="46" spans="1:14" ht="30" customHeight="1">
      <c r="A46" s="37">
        <v>439</v>
      </c>
      <c r="B46" s="40" t="s">
        <v>99</v>
      </c>
      <c r="C46" s="40" t="s">
        <v>100</v>
      </c>
      <c r="D46" s="40" t="s">
        <v>62</v>
      </c>
      <c r="E46" s="41" t="s">
        <v>34</v>
      </c>
      <c r="F46" s="69">
        <v>30</v>
      </c>
      <c r="G46" s="295">
        <v>9116</v>
      </c>
      <c r="H46" s="40" t="s">
        <v>63</v>
      </c>
      <c r="I46" s="100"/>
      <c r="K46" s="74"/>
      <c r="L46" s="74"/>
      <c r="N46" s="74"/>
    </row>
    <row r="47" spans="1:14" ht="30" customHeight="1">
      <c r="A47" s="37">
        <v>440</v>
      </c>
      <c r="B47" s="40" t="s">
        <v>101</v>
      </c>
      <c r="C47" s="40" t="s">
        <v>102</v>
      </c>
      <c r="D47" s="40" t="s">
        <v>62</v>
      </c>
      <c r="E47" s="41" t="s">
        <v>34</v>
      </c>
      <c r="F47" s="69">
        <v>3</v>
      </c>
      <c r="G47" s="295">
        <v>1785</v>
      </c>
      <c r="H47" s="40" t="s">
        <v>63</v>
      </c>
      <c r="I47" s="100"/>
      <c r="K47" s="74"/>
      <c r="L47" s="74"/>
      <c r="N47" s="74"/>
    </row>
    <row r="48" spans="1:14" ht="30" customHeight="1">
      <c r="A48" s="37">
        <v>441</v>
      </c>
      <c r="B48" s="40" t="s">
        <v>228</v>
      </c>
      <c r="C48" s="40" t="s">
        <v>229</v>
      </c>
      <c r="D48" s="40" t="s">
        <v>62</v>
      </c>
      <c r="E48" s="41" t="s">
        <v>34</v>
      </c>
      <c r="F48" s="69">
        <v>40</v>
      </c>
      <c r="G48" s="295">
        <v>1722</v>
      </c>
      <c r="H48" s="40" t="s">
        <v>63</v>
      </c>
      <c r="I48" s="100"/>
      <c r="K48" s="74"/>
      <c r="L48" s="74"/>
      <c r="N48" s="74"/>
    </row>
    <row r="49" spans="1:14" ht="30" customHeight="1">
      <c r="A49" s="37">
        <v>442</v>
      </c>
      <c r="B49" s="40" t="s">
        <v>103</v>
      </c>
      <c r="C49" s="40" t="s">
        <v>104</v>
      </c>
      <c r="D49" s="40" t="s">
        <v>62</v>
      </c>
      <c r="E49" s="41" t="s">
        <v>25</v>
      </c>
      <c r="F49" s="69">
        <v>1200</v>
      </c>
      <c r="G49" s="295">
        <v>5568</v>
      </c>
      <c r="H49" s="40" t="s">
        <v>63</v>
      </c>
      <c r="I49" s="100"/>
      <c r="K49" s="74"/>
      <c r="L49" s="74"/>
      <c r="N49" s="74"/>
    </row>
    <row r="50" spans="1:14" ht="30" customHeight="1">
      <c r="A50" s="37">
        <v>443</v>
      </c>
      <c r="B50" s="40" t="s">
        <v>430</v>
      </c>
      <c r="C50" s="40" t="s">
        <v>231</v>
      </c>
      <c r="D50" s="40" t="s">
        <v>62</v>
      </c>
      <c r="E50" s="41" t="s">
        <v>77</v>
      </c>
      <c r="F50" s="69">
        <v>10</v>
      </c>
      <c r="G50" s="295">
        <v>593.5</v>
      </c>
      <c r="H50" s="40" t="s">
        <v>63</v>
      </c>
      <c r="I50" s="100"/>
      <c r="K50" s="74"/>
      <c r="L50" s="74"/>
      <c r="N50" s="74"/>
    </row>
    <row r="51" spans="1:14" ht="30" customHeight="1">
      <c r="A51" s="37">
        <v>444</v>
      </c>
      <c r="B51" s="38" t="s">
        <v>105</v>
      </c>
      <c r="C51" s="40" t="s">
        <v>70</v>
      </c>
      <c r="D51" s="40" t="s">
        <v>62</v>
      </c>
      <c r="E51" s="41" t="s">
        <v>34</v>
      </c>
      <c r="F51" s="69">
        <v>30</v>
      </c>
      <c r="G51" s="295">
        <v>997</v>
      </c>
      <c r="H51" s="40" t="s">
        <v>63</v>
      </c>
      <c r="I51" s="100"/>
      <c r="K51" s="74"/>
      <c r="L51" s="74"/>
      <c r="N51" s="74"/>
    </row>
    <row r="52" spans="1:14" ht="30" customHeight="1">
      <c r="A52" s="37">
        <v>445</v>
      </c>
      <c r="B52" s="38" t="s">
        <v>268</v>
      </c>
      <c r="C52" s="40" t="s">
        <v>70</v>
      </c>
      <c r="D52" s="40" t="s">
        <v>62</v>
      </c>
      <c r="E52" s="41" t="s">
        <v>34</v>
      </c>
      <c r="F52" s="69">
        <v>5</v>
      </c>
      <c r="G52" s="295">
        <v>102.1</v>
      </c>
      <c r="H52" s="40" t="s">
        <v>63</v>
      </c>
      <c r="I52" s="100"/>
      <c r="K52" s="74"/>
      <c r="L52" s="74"/>
      <c r="N52" s="74"/>
    </row>
    <row r="53" spans="1:14" s="10" customFormat="1" ht="30" customHeight="1">
      <c r="A53" s="296"/>
      <c r="B53" s="308" t="s">
        <v>106</v>
      </c>
      <c r="C53" s="327"/>
      <c r="D53" s="263"/>
      <c r="E53" s="263"/>
      <c r="F53" s="261"/>
      <c r="G53" s="297">
        <f>SUM(G23:G52)</f>
        <v>107520</v>
      </c>
      <c r="H53" s="265"/>
      <c r="I53" s="100"/>
      <c r="K53" s="267"/>
      <c r="L53" s="267"/>
      <c r="N53" s="267"/>
    </row>
    <row r="54" spans="1:12" ht="30" customHeight="1">
      <c r="A54" s="37">
        <v>446</v>
      </c>
      <c r="B54" s="38" t="s">
        <v>235</v>
      </c>
      <c r="C54" s="40" t="s">
        <v>116</v>
      </c>
      <c r="D54" s="40" t="s">
        <v>109</v>
      </c>
      <c r="E54" s="41" t="s">
        <v>113</v>
      </c>
      <c r="F54" s="50" t="s">
        <v>117</v>
      </c>
      <c r="G54" s="42">
        <v>1200</v>
      </c>
      <c r="H54" s="40" t="s">
        <v>63</v>
      </c>
      <c r="I54" s="100"/>
      <c r="K54" s="12">
        <f>154</f>
        <v>154</v>
      </c>
      <c r="L54" s="74">
        <f aca="true" t="shared" si="0" ref="L54:L66">G54-K54</f>
        <v>1046</v>
      </c>
    </row>
    <row r="55" spans="1:12" ht="30" customHeight="1">
      <c r="A55" s="37">
        <v>447</v>
      </c>
      <c r="B55" s="38" t="s">
        <v>431</v>
      </c>
      <c r="C55" s="40" t="s">
        <v>108</v>
      </c>
      <c r="D55" s="40" t="s">
        <v>109</v>
      </c>
      <c r="E55" s="41" t="s">
        <v>110</v>
      </c>
      <c r="F55" s="50">
        <v>6</v>
      </c>
      <c r="G55" s="42">
        <v>566.4</v>
      </c>
      <c r="H55" s="40" t="s">
        <v>63</v>
      </c>
      <c r="I55" s="100"/>
      <c r="L55" s="74"/>
    </row>
    <row r="56" spans="1:12" ht="30" customHeight="1">
      <c r="A56" s="37">
        <v>448</v>
      </c>
      <c r="B56" s="98" t="s">
        <v>296</v>
      </c>
      <c r="C56" s="99" t="s">
        <v>326</v>
      </c>
      <c r="D56" s="40" t="s">
        <v>109</v>
      </c>
      <c r="E56" s="41" t="s">
        <v>113</v>
      </c>
      <c r="F56" s="41" t="s">
        <v>117</v>
      </c>
      <c r="G56" s="42">
        <v>1413</v>
      </c>
      <c r="H56" s="40" t="s">
        <v>63</v>
      </c>
      <c r="I56" s="100"/>
      <c r="K56" s="12">
        <f>470.96</f>
        <v>470.96</v>
      </c>
      <c r="L56" s="74">
        <f t="shared" si="0"/>
        <v>942.04</v>
      </c>
    </row>
    <row r="57" spans="1:12" ht="30" customHeight="1">
      <c r="A57" s="37">
        <v>449</v>
      </c>
      <c r="B57" s="98" t="s">
        <v>295</v>
      </c>
      <c r="C57" s="99" t="s">
        <v>112</v>
      </c>
      <c r="D57" s="40" t="s">
        <v>109</v>
      </c>
      <c r="E57" s="41" t="s">
        <v>113</v>
      </c>
      <c r="F57" s="41" t="s">
        <v>432</v>
      </c>
      <c r="G57" s="42">
        <v>3600</v>
      </c>
      <c r="H57" s="40" t="s">
        <v>63</v>
      </c>
      <c r="I57" s="100"/>
      <c r="K57" s="12">
        <f>800</f>
        <v>800</v>
      </c>
      <c r="L57" s="74">
        <f t="shared" si="0"/>
        <v>2800</v>
      </c>
    </row>
    <row r="58" spans="1:12" ht="30" customHeight="1">
      <c r="A58" s="37">
        <v>450</v>
      </c>
      <c r="B58" s="38" t="s">
        <v>433</v>
      </c>
      <c r="C58" s="40" t="s">
        <v>234</v>
      </c>
      <c r="D58" s="40" t="s">
        <v>109</v>
      </c>
      <c r="E58" s="41" t="s">
        <v>113</v>
      </c>
      <c r="F58" s="50" t="s">
        <v>117</v>
      </c>
      <c r="G58" s="42">
        <v>3780</v>
      </c>
      <c r="H58" s="40" t="s">
        <v>63</v>
      </c>
      <c r="I58" s="100"/>
      <c r="L58" s="74">
        <f t="shared" si="0"/>
        <v>3780</v>
      </c>
    </row>
    <row r="59" spans="1:12" ht="30" customHeight="1">
      <c r="A59" s="37">
        <v>451</v>
      </c>
      <c r="B59" s="232" t="s">
        <v>284</v>
      </c>
      <c r="C59" s="40" t="s">
        <v>239</v>
      </c>
      <c r="D59" s="40" t="s">
        <v>109</v>
      </c>
      <c r="E59" s="41" t="s">
        <v>285</v>
      </c>
      <c r="F59" s="233">
        <v>110</v>
      </c>
      <c r="G59" s="42">
        <v>296</v>
      </c>
      <c r="H59" s="40" t="s">
        <v>19</v>
      </c>
      <c r="I59" s="100"/>
      <c r="L59" s="74">
        <f t="shared" si="0"/>
        <v>296</v>
      </c>
    </row>
    <row r="60" spans="1:12" ht="30" customHeight="1">
      <c r="A60" s="37">
        <v>452</v>
      </c>
      <c r="B60" s="232" t="s">
        <v>401</v>
      </c>
      <c r="C60" s="40" t="s">
        <v>239</v>
      </c>
      <c r="D60" s="40" t="s">
        <v>109</v>
      </c>
      <c r="E60" s="41" t="s">
        <v>285</v>
      </c>
      <c r="F60" s="233">
        <v>994</v>
      </c>
      <c r="G60" s="42">
        <v>2564.52</v>
      </c>
      <c r="H60" s="40" t="s">
        <v>19</v>
      </c>
      <c r="I60" s="100"/>
      <c r="L60" s="74">
        <f t="shared" si="0"/>
        <v>2564.52</v>
      </c>
    </row>
    <row r="61" spans="1:12" ht="30" customHeight="1">
      <c r="A61" s="37">
        <v>453</v>
      </c>
      <c r="B61" s="94" t="s">
        <v>434</v>
      </c>
      <c r="C61" s="40" t="s">
        <v>131</v>
      </c>
      <c r="D61" s="40" t="s">
        <v>109</v>
      </c>
      <c r="E61" s="41" t="s">
        <v>25</v>
      </c>
      <c r="F61" s="50">
        <v>3</v>
      </c>
      <c r="G61" s="42">
        <v>840</v>
      </c>
      <c r="H61" s="40" t="s">
        <v>132</v>
      </c>
      <c r="I61" s="100"/>
      <c r="L61" s="74">
        <f t="shared" si="0"/>
        <v>840</v>
      </c>
    </row>
    <row r="62" spans="1:12" ht="30" customHeight="1">
      <c r="A62" s="37">
        <v>454</v>
      </c>
      <c r="B62" s="232" t="s">
        <v>435</v>
      </c>
      <c r="C62" s="52" t="s">
        <v>242</v>
      </c>
      <c r="D62" s="40" t="s">
        <v>109</v>
      </c>
      <c r="E62" s="41" t="s">
        <v>25</v>
      </c>
      <c r="F62" s="41">
        <v>6</v>
      </c>
      <c r="G62" s="42">
        <v>1257.6</v>
      </c>
      <c r="H62" s="40" t="s">
        <v>132</v>
      </c>
      <c r="I62" s="100"/>
      <c r="L62" s="74">
        <f t="shared" si="0"/>
        <v>1257.6</v>
      </c>
    </row>
    <row r="63" spans="1:12" ht="45" customHeight="1">
      <c r="A63" s="37">
        <v>455</v>
      </c>
      <c r="B63" s="234" t="s">
        <v>436</v>
      </c>
      <c r="C63" s="52" t="s">
        <v>242</v>
      </c>
      <c r="D63" s="40" t="s">
        <v>109</v>
      </c>
      <c r="E63" s="41" t="s">
        <v>25</v>
      </c>
      <c r="F63" s="41">
        <v>3</v>
      </c>
      <c r="G63" s="42">
        <v>487.5</v>
      </c>
      <c r="H63" s="40" t="s">
        <v>132</v>
      </c>
      <c r="I63" s="100"/>
      <c r="L63" s="74">
        <f t="shared" si="0"/>
        <v>487.5</v>
      </c>
    </row>
    <row r="64" spans="1:12" ht="45" customHeight="1">
      <c r="A64" s="37">
        <v>456</v>
      </c>
      <c r="B64" s="234" t="s">
        <v>437</v>
      </c>
      <c r="C64" s="52" t="s">
        <v>242</v>
      </c>
      <c r="D64" s="40" t="s">
        <v>109</v>
      </c>
      <c r="E64" s="41" t="s">
        <v>25</v>
      </c>
      <c r="F64" s="41">
        <v>2</v>
      </c>
      <c r="G64" s="42">
        <v>384.478</v>
      </c>
      <c r="H64" s="40" t="s">
        <v>132</v>
      </c>
      <c r="I64" s="100"/>
      <c r="L64" s="74">
        <f t="shared" si="0"/>
        <v>384.478</v>
      </c>
    </row>
    <row r="65" spans="1:12" ht="30" customHeight="1">
      <c r="A65" s="37">
        <v>457</v>
      </c>
      <c r="B65" s="232" t="s">
        <v>438</v>
      </c>
      <c r="C65" s="52" t="s">
        <v>242</v>
      </c>
      <c r="D65" s="40" t="s">
        <v>109</v>
      </c>
      <c r="E65" s="41" t="s">
        <v>25</v>
      </c>
      <c r="F65" s="41">
        <v>3</v>
      </c>
      <c r="G65" s="42">
        <v>550.35</v>
      </c>
      <c r="H65" s="40" t="s">
        <v>132</v>
      </c>
      <c r="I65" s="100"/>
      <c r="L65" s="74">
        <f t="shared" si="0"/>
        <v>550.35</v>
      </c>
    </row>
    <row r="66" spans="1:12" ht="45" customHeight="1">
      <c r="A66" s="37">
        <v>458</v>
      </c>
      <c r="B66" s="38" t="s">
        <v>236</v>
      </c>
      <c r="C66" s="40" t="s">
        <v>119</v>
      </c>
      <c r="D66" s="40" t="s">
        <v>109</v>
      </c>
      <c r="E66" s="41" t="s">
        <v>120</v>
      </c>
      <c r="F66" s="41" t="s">
        <v>121</v>
      </c>
      <c r="G66" s="42">
        <v>4908.15</v>
      </c>
      <c r="H66" s="40" t="s">
        <v>63</v>
      </c>
      <c r="I66" s="100"/>
      <c r="K66" s="12">
        <v>1260</v>
      </c>
      <c r="L66" s="74">
        <f t="shared" si="0"/>
        <v>3648.1499999999996</v>
      </c>
    </row>
    <row r="67" spans="1:12" s="10" customFormat="1" ht="30" customHeight="1">
      <c r="A67" s="296"/>
      <c r="B67" s="260" t="s">
        <v>136</v>
      </c>
      <c r="C67" s="261"/>
      <c r="D67" s="262"/>
      <c r="E67" s="263"/>
      <c r="F67" s="263"/>
      <c r="G67" s="297">
        <f>SUM(G54:G66)</f>
        <v>21847.998</v>
      </c>
      <c r="H67" s="265"/>
      <c r="I67" s="100"/>
      <c r="K67" s="267">
        <f>SUM(K54:K66)</f>
        <v>2684.96</v>
      </c>
      <c r="L67" s="267" t="e">
        <f>SUM(#REF!)</f>
        <v>#REF!</v>
      </c>
    </row>
    <row r="68" spans="1:11" ht="30" customHeight="1">
      <c r="A68" s="37">
        <v>459</v>
      </c>
      <c r="B68" s="38" t="s">
        <v>137</v>
      </c>
      <c r="C68" s="52" t="s">
        <v>138</v>
      </c>
      <c r="D68" s="40" t="s">
        <v>139</v>
      </c>
      <c r="E68" s="41" t="s">
        <v>140</v>
      </c>
      <c r="F68" s="53">
        <f>G68/2878.55</f>
        <v>241.88567160549582</v>
      </c>
      <c r="G68" s="295">
        <v>696280</v>
      </c>
      <c r="H68" s="40" t="s">
        <v>63</v>
      </c>
      <c r="I68" s="100"/>
      <c r="K68" s="12">
        <f>287710</f>
        <v>287710</v>
      </c>
    </row>
    <row r="69" spans="1:9" s="10" customFormat="1" ht="30" customHeight="1">
      <c r="A69" s="296"/>
      <c r="B69" s="260" t="s">
        <v>141</v>
      </c>
      <c r="C69" s="261"/>
      <c r="D69" s="262"/>
      <c r="E69" s="263"/>
      <c r="F69" s="263"/>
      <c r="G69" s="297">
        <f>SUM(G68:G68)</f>
        <v>696280</v>
      </c>
      <c r="H69" s="265"/>
      <c r="I69" s="100"/>
    </row>
    <row r="70" spans="1:13" ht="30" customHeight="1">
      <c r="A70" s="37">
        <v>460</v>
      </c>
      <c r="B70" s="38" t="s">
        <v>142</v>
      </c>
      <c r="C70" s="54" t="s">
        <v>143</v>
      </c>
      <c r="D70" s="40" t="s">
        <v>144</v>
      </c>
      <c r="E70" s="41" t="s">
        <v>145</v>
      </c>
      <c r="F70" s="56">
        <f>G70/4.143</f>
        <v>10967.41491672701</v>
      </c>
      <c r="G70" s="295">
        <v>45438</v>
      </c>
      <c r="H70" s="40" t="s">
        <v>63</v>
      </c>
      <c r="I70" s="100"/>
      <c r="K70" s="12">
        <f>11737.12+6432.15</f>
        <v>18169.27</v>
      </c>
      <c r="L70" s="240">
        <f>F70-J70</f>
        <v>10967.41491672701</v>
      </c>
      <c r="M70" s="74">
        <f>G70-K70</f>
        <v>27268.73</v>
      </c>
    </row>
    <row r="71" spans="1:9" s="10" customFormat="1" ht="30" customHeight="1">
      <c r="A71" s="296"/>
      <c r="B71" s="260" t="s">
        <v>146</v>
      </c>
      <c r="C71" s="261"/>
      <c r="D71" s="262"/>
      <c r="E71" s="263"/>
      <c r="F71" s="263"/>
      <c r="G71" s="297">
        <f>G70</f>
        <v>45438</v>
      </c>
      <c r="H71" s="265"/>
      <c r="I71" s="100"/>
    </row>
    <row r="72" spans="1:9" ht="22.5" customHeight="1">
      <c r="A72" s="19"/>
      <c r="B72" s="208" t="s">
        <v>151</v>
      </c>
      <c r="C72" s="167"/>
      <c r="D72" s="168"/>
      <c r="E72" s="207"/>
      <c r="F72" s="207"/>
      <c r="G72" s="304"/>
      <c r="H72" s="8"/>
      <c r="I72" s="223"/>
    </row>
    <row r="73" spans="1:9" ht="22.5" customHeight="1">
      <c r="A73" s="19"/>
      <c r="B73" s="106" t="s">
        <v>152</v>
      </c>
      <c r="C73" s="107"/>
      <c r="D73" s="108" t="s">
        <v>153</v>
      </c>
      <c r="E73" s="109"/>
      <c r="F73" s="109"/>
      <c r="G73" s="304"/>
      <c r="H73" s="171"/>
      <c r="I73" s="223"/>
    </row>
    <row r="74" spans="1:9" s="8" customFormat="1" ht="22.5" customHeight="1">
      <c r="A74" s="19"/>
      <c r="B74" s="111"/>
      <c r="C74" s="9"/>
      <c r="D74" s="112" t="s">
        <v>154</v>
      </c>
      <c r="E74" s="113" t="s">
        <v>155</v>
      </c>
      <c r="F74" s="114"/>
      <c r="G74" s="304"/>
      <c r="H74" s="171"/>
      <c r="I74" s="223"/>
    </row>
    <row r="75" spans="1:9" s="8" customFormat="1" ht="22.5" customHeight="1">
      <c r="A75" s="19"/>
      <c r="B75" s="115" t="s">
        <v>156</v>
      </c>
      <c r="C75" s="116"/>
      <c r="D75" s="108" t="s">
        <v>157</v>
      </c>
      <c r="E75" s="109"/>
      <c r="F75" s="109"/>
      <c r="G75" s="304"/>
      <c r="H75" s="171"/>
      <c r="I75" s="223"/>
    </row>
    <row r="76" spans="1:9" ht="22.5" customHeight="1">
      <c r="A76" s="19"/>
      <c r="B76" s="111"/>
      <c r="C76" s="9"/>
      <c r="D76" s="112" t="s">
        <v>154</v>
      </c>
      <c r="E76" s="113"/>
      <c r="F76" s="114"/>
      <c r="G76" s="304"/>
      <c r="H76" s="8"/>
      <c r="I76" s="141"/>
    </row>
    <row r="77" spans="1:9" s="8" customFormat="1" ht="22.5" customHeight="1">
      <c r="A77" s="19"/>
      <c r="B77" s="115" t="s">
        <v>158</v>
      </c>
      <c r="C77" s="9"/>
      <c r="D77" s="9"/>
      <c r="E77" s="9"/>
      <c r="F77" s="9"/>
      <c r="G77" s="304"/>
      <c r="H77" s="171"/>
      <c r="I77" s="223"/>
    </row>
    <row r="78" spans="1:9" s="2" customFormat="1" ht="30" customHeight="1">
      <c r="A78" s="169"/>
      <c r="B78" s="229" t="s">
        <v>159</v>
      </c>
      <c r="C78" s="167"/>
      <c r="D78" s="291" t="s">
        <v>160</v>
      </c>
      <c r="E78" s="229"/>
      <c r="F78" s="167"/>
      <c r="G78" s="307"/>
      <c r="H78" s="171"/>
      <c r="I78" s="326"/>
    </row>
    <row r="79" spans="1:9" ht="22.5" customHeight="1">
      <c r="A79" s="19"/>
      <c r="B79" s="230" t="s">
        <v>161</v>
      </c>
      <c r="C79" s="167"/>
      <c r="D79" s="168"/>
      <c r="E79" s="207"/>
      <c r="F79" s="207"/>
      <c r="G79" s="304"/>
      <c r="H79" s="8"/>
      <c r="I79" s="223"/>
    </row>
  </sheetData>
  <sheetProtection/>
  <mergeCells count="17">
    <mergeCell ref="F1:G1"/>
    <mergeCell ref="A2:I2"/>
    <mergeCell ref="B22:C22"/>
    <mergeCell ref="B53:C53"/>
    <mergeCell ref="B67:C67"/>
    <mergeCell ref="B69:C69"/>
    <mergeCell ref="B71:C7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71"/>
  </mergeCells>
  <hyperlinks>
    <hyperlink ref="C14" r:id="rId1" display="20.41.3; ДК 016:2010"/>
    <hyperlink ref="C15" r:id="rId2" display="20.30.1; ДК 016:2010"/>
    <hyperlink ref="C16" r:id="rId3" display="17.24.1; ДК 016:2010"/>
    <hyperlink ref="C17" r:id="rId4" display="25.99.1; ДК 016:2010"/>
    <hyperlink ref="C19" r:id="rId5" display="25.99.1; ДК 016:2010"/>
    <hyperlink ref="C21" r:id="rId6" display="32.30.1; ДК 016:2010"/>
    <hyperlink ref="C18" r:id="rId7" display="22.29.2; ДК 016:2010"/>
    <hyperlink ref="C20" r:id="rId8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02"/>
  <sheetViews>
    <sheetView view="pageBreakPreview" zoomScale="90" zoomScaleNormal="90" zoomScaleSheetLayoutView="90" workbookViewId="0" topLeftCell="A34">
      <selection activeCell="B44" sqref="B44:C76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10" s="187" customFormat="1" ht="45" customHeight="1">
      <c r="A2" s="321"/>
      <c r="B2" s="317" t="s">
        <v>439</v>
      </c>
      <c r="C2" s="317"/>
      <c r="D2" s="317"/>
      <c r="E2" s="317"/>
      <c r="F2" s="317"/>
      <c r="G2" s="317"/>
      <c r="H2" s="317"/>
      <c r="I2" s="317"/>
      <c r="J2" s="317"/>
    </row>
    <row r="3" spans="3:9" ht="15" customHeight="1">
      <c r="C3" s="124"/>
      <c r="D3" s="125" t="s">
        <v>4</v>
      </c>
      <c r="E3" s="124"/>
      <c r="F3" s="124"/>
      <c r="G3" s="3"/>
      <c r="H3" s="16"/>
      <c r="I3" s="16"/>
    </row>
    <row r="4" ht="15" customHeight="1"/>
    <row r="5" spans="1:11" ht="15.75" customHeight="1">
      <c r="A5" s="26" t="s">
        <v>5</v>
      </c>
      <c r="B5" s="27" t="s">
        <v>6</v>
      </c>
      <c r="C5" s="28" t="s">
        <v>7</v>
      </c>
      <c r="D5" s="28" t="s">
        <v>249</v>
      </c>
      <c r="E5" s="28" t="s">
        <v>9</v>
      </c>
      <c r="F5" s="28" t="s">
        <v>10</v>
      </c>
      <c r="G5" s="28" t="s">
        <v>250</v>
      </c>
      <c r="H5" s="28" t="s">
        <v>251</v>
      </c>
      <c r="I5" s="28" t="s">
        <v>13</v>
      </c>
      <c r="J5" s="71"/>
      <c r="K5" s="71"/>
    </row>
    <row r="6" spans="1:9" ht="31.5" customHeight="1">
      <c r="A6" s="29"/>
      <c r="B6" s="30"/>
      <c r="C6" s="31"/>
      <c r="D6" s="31"/>
      <c r="E6" s="31"/>
      <c r="F6" s="31"/>
      <c r="G6" s="31"/>
      <c r="H6" s="31"/>
      <c r="I6" s="31"/>
    </row>
    <row r="7" spans="1:9" ht="37.5" customHeight="1">
      <c r="A7" s="32"/>
      <c r="B7" s="33"/>
      <c r="C7" s="34"/>
      <c r="D7" s="34"/>
      <c r="E7" s="34"/>
      <c r="F7" s="34"/>
      <c r="G7" s="34"/>
      <c r="H7" s="34"/>
      <c r="I7" s="34"/>
    </row>
    <row r="8" spans="1:9" ht="20.25" customHeight="1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72">
        <v>9</v>
      </c>
    </row>
    <row r="9" spans="1:14" s="6" customFormat="1" ht="30" customHeight="1">
      <c r="A9" s="37">
        <v>325</v>
      </c>
      <c r="B9" s="160" t="s">
        <v>440</v>
      </c>
      <c r="C9" s="133" t="s">
        <v>441</v>
      </c>
      <c r="D9" s="133" t="s">
        <v>17</v>
      </c>
      <c r="E9" s="41" t="s">
        <v>18</v>
      </c>
      <c r="F9" s="41">
        <v>1</v>
      </c>
      <c r="G9" s="53">
        <v>660.02</v>
      </c>
      <c r="H9" s="210" t="s">
        <v>63</v>
      </c>
      <c r="I9" s="224" t="s">
        <v>253</v>
      </c>
      <c r="L9" s="166">
        <f>G9-K9</f>
        <v>660.02</v>
      </c>
      <c r="M9" s="6">
        <f>199-125</f>
        <v>74</v>
      </c>
      <c r="N9" s="6">
        <f>27223.2-17100</f>
        <v>10123.2</v>
      </c>
    </row>
    <row r="10" spans="1:12" s="6" customFormat="1" ht="30" customHeight="1">
      <c r="A10" s="37">
        <v>326</v>
      </c>
      <c r="B10" s="160" t="s">
        <v>442</v>
      </c>
      <c r="C10" s="174" t="s">
        <v>16</v>
      </c>
      <c r="D10" s="133" t="s">
        <v>17</v>
      </c>
      <c r="E10" s="41" t="s">
        <v>25</v>
      </c>
      <c r="F10" s="41">
        <v>30</v>
      </c>
      <c r="G10" s="53">
        <v>606.9</v>
      </c>
      <c r="H10" s="210" t="s">
        <v>63</v>
      </c>
      <c r="I10" s="224"/>
      <c r="L10" s="166">
        <f>G10-K10</f>
        <v>606.9</v>
      </c>
    </row>
    <row r="11" spans="1:12" s="6" customFormat="1" ht="30" customHeight="1">
      <c r="A11" s="37">
        <v>327</v>
      </c>
      <c r="B11" s="174" t="s">
        <v>443</v>
      </c>
      <c r="C11" s="174" t="s">
        <v>171</v>
      </c>
      <c r="D11" s="133" t="s">
        <v>17</v>
      </c>
      <c r="E11" s="41" t="s">
        <v>25</v>
      </c>
      <c r="F11" s="41">
        <v>5</v>
      </c>
      <c r="G11" s="322">
        <v>95.1</v>
      </c>
      <c r="H11" s="210" t="s">
        <v>63</v>
      </c>
      <c r="I11" s="224"/>
      <c r="L11" s="166"/>
    </row>
    <row r="12" spans="1:12" s="6" customFormat="1" ht="30" customHeight="1">
      <c r="A12" s="37">
        <v>328</v>
      </c>
      <c r="B12" s="174" t="s">
        <v>444</v>
      </c>
      <c r="C12" s="174" t="s">
        <v>24</v>
      </c>
      <c r="D12" s="133" t="s">
        <v>17</v>
      </c>
      <c r="E12" s="162" t="s">
        <v>306</v>
      </c>
      <c r="F12" s="41">
        <v>5</v>
      </c>
      <c r="G12" s="322">
        <v>340.4</v>
      </c>
      <c r="H12" s="210" t="s">
        <v>63</v>
      </c>
      <c r="I12" s="224"/>
      <c r="L12" s="166"/>
    </row>
    <row r="13" spans="1:12" s="6" customFormat="1" ht="60" customHeight="1">
      <c r="A13" s="37">
        <v>329</v>
      </c>
      <c r="B13" s="174" t="s">
        <v>445</v>
      </c>
      <c r="C13" s="174" t="s">
        <v>21</v>
      </c>
      <c r="D13" s="133" t="s">
        <v>17</v>
      </c>
      <c r="E13" s="162" t="s">
        <v>306</v>
      </c>
      <c r="F13" s="41">
        <v>3</v>
      </c>
      <c r="G13" s="322">
        <v>1111.32</v>
      </c>
      <c r="H13" s="210" t="s">
        <v>63</v>
      </c>
      <c r="I13" s="224"/>
      <c r="L13" s="166"/>
    </row>
    <row r="14" spans="1:12" s="6" customFormat="1" ht="29.25" customHeight="1">
      <c r="A14" s="37">
        <v>330</v>
      </c>
      <c r="B14" s="212" t="s">
        <v>446</v>
      </c>
      <c r="C14" s="174" t="s">
        <v>24</v>
      </c>
      <c r="D14" s="133" t="s">
        <v>17</v>
      </c>
      <c r="E14" s="162" t="s">
        <v>25</v>
      </c>
      <c r="F14" s="41">
        <v>1</v>
      </c>
      <c r="G14" s="322">
        <v>174.64</v>
      </c>
      <c r="H14" s="210" t="s">
        <v>63</v>
      </c>
      <c r="I14" s="224"/>
      <c r="L14" s="166"/>
    </row>
    <row r="15" spans="1:12" s="6" customFormat="1" ht="29.25" customHeight="1">
      <c r="A15" s="37">
        <v>331</v>
      </c>
      <c r="B15" s="174" t="s">
        <v>447</v>
      </c>
      <c r="C15" s="174" t="s">
        <v>24</v>
      </c>
      <c r="D15" s="133" t="s">
        <v>17</v>
      </c>
      <c r="E15" s="162" t="s">
        <v>25</v>
      </c>
      <c r="F15" s="41">
        <v>10</v>
      </c>
      <c r="G15" s="322">
        <v>106</v>
      </c>
      <c r="H15" s="210" t="s">
        <v>63</v>
      </c>
      <c r="I15" s="224"/>
      <c r="L15" s="166"/>
    </row>
    <row r="16" spans="1:12" s="6" customFormat="1" ht="29.25" customHeight="1">
      <c r="A16" s="37">
        <v>332</v>
      </c>
      <c r="B16" s="174" t="s">
        <v>448</v>
      </c>
      <c r="C16" s="174" t="s">
        <v>24</v>
      </c>
      <c r="D16" s="133" t="s">
        <v>17</v>
      </c>
      <c r="E16" s="3" t="s">
        <v>306</v>
      </c>
      <c r="F16" s="41">
        <v>2</v>
      </c>
      <c r="G16" s="3">
        <v>248.14</v>
      </c>
      <c r="H16" s="210" t="s">
        <v>63</v>
      </c>
      <c r="I16" s="224"/>
      <c r="L16" s="166"/>
    </row>
    <row r="17" spans="1:12" s="6" customFormat="1" ht="60" customHeight="1">
      <c r="A17" s="37">
        <v>333</v>
      </c>
      <c r="B17" s="174" t="s">
        <v>449</v>
      </c>
      <c r="C17" s="174" t="s">
        <v>21</v>
      </c>
      <c r="D17" s="133" t="s">
        <v>17</v>
      </c>
      <c r="E17" s="162" t="s">
        <v>25</v>
      </c>
      <c r="F17" s="41">
        <v>4</v>
      </c>
      <c r="G17" s="322">
        <v>99.12</v>
      </c>
      <c r="H17" s="210" t="s">
        <v>63</v>
      </c>
      <c r="I17" s="224"/>
      <c r="L17" s="166"/>
    </row>
    <row r="18" spans="1:12" s="6" customFormat="1" ht="29.25" customHeight="1">
      <c r="A18" s="37">
        <v>334</v>
      </c>
      <c r="B18" s="174" t="s">
        <v>15</v>
      </c>
      <c r="C18" s="174" t="s">
        <v>16</v>
      </c>
      <c r="D18" s="133" t="s">
        <v>17</v>
      </c>
      <c r="E18" s="162" t="s">
        <v>18</v>
      </c>
      <c r="F18" s="41">
        <v>12</v>
      </c>
      <c r="G18" s="322">
        <v>2520</v>
      </c>
      <c r="H18" s="210" t="s">
        <v>63</v>
      </c>
      <c r="I18" s="224"/>
      <c r="L18" s="166"/>
    </row>
    <row r="19" spans="1:12" s="6" customFormat="1" ht="29.25" customHeight="1">
      <c r="A19" s="37">
        <v>335</v>
      </c>
      <c r="B19" s="174" t="s">
        <v>422</v>
      </c>
      <c r="C19" s="174" t="s">
        <v>27</v>
      </c>
      <c r="D19" s="133" t="s">
        <v>17</v>
      </c>
      <c r="E19" s="162" t="s">
        <v>306</v>
      </c>
      <c r="F19" s="41">
        <v>30</v>
      </c>
      <c r="G19" s="322">
        <v>1780.5</v>
      </c>
      <c r="H19" s="210" t="s">
        <v>63</v>
      </c>
      <c r="I19" s="224"/>
      <c r="L19" s="166"/>
    </row>
    <row r="20" spans="1:12" s="6" customFormat="1" ht="30" customHeight="1">
      <c r="A20" s="37">
        <v>336</v>
      </c>
      <c r="B20" s="174" t="s">
        <v>450</v>
      </c>
      <c r="C20" s="174" t="s">
        <v>27</v>
      </c>
      <c r="D20" s="210" t="s">
        <v>17</v>
      </c>
      <c r="E20" s="162" t="s">
        <v>22</v>
      </c>
      <c r="F20" s="41">
        <v>2</v>
      </c>
      <c r="G20" s="322">
        <v>352.76</v>
      </c>
      <c r="H20" s="210" t="s">
        <v>63</v>
      </c>
      <c r="I20" s="224"/>
      <c r="L20" s="166"/>
    </row>
    <row r="21" spans="1:12" s="6" customFormat="1" ht="30" customHeight="1">
      <c r="A21" s="37">
        <v>337</v>
      </c>
      <c r="B21" s="174" t="s">
        <v>351</v>
      </c>
      <c r="C21" s="213" t="s">
        <v>31</v>
      </c>
      <c r="D21" s="210" t="s">
        <v>17</v>
      </c>
      <c r="E21" s="162" t="s">
        <v>22</v>
      </c>
      <c r="F21" s="41">
        <v>5</v>
      </c>
      <c r="G21" s="322">
        <v>131.3</v>
      </c>
      <c r="H21" s="210" t="s">
        <v>63</v>
      </c>
      <c r="I21" s="224"/>
      <c r="L21" s="166"/>
    </row>
    <row r="22" spans="1:12" s="6" customFormat="1" ht="30" customHeight="1">
      <c r="A22" s="37">
        <v>338</v>
      </c>
      <c r="B22" s="174" t="s">
        <v>383</v>
      </c>
      <c r="C22" s="174" t="s">
        <v>346</v>
      </c>
      <c r="D22" s="133" t="s">
        <v>17</v>
      </c>
      <c r="E22" s="162" t="s">
        <v>34</v>
      </c>
      <c r="F22" s="41">
        <v>6</v>
      </c>
      <c r="G22" s="322">
        <v>5940</v>
      </c>
      <c r="H22" s="210" t="s">
        <v>63</v>
      </c>
      <c r="I22" s="224"/>
      <c r="L22" s="166"/>
    </row>
    <row r="23" spans="1:12" s="6" customFormat="1" ht="30" customHeight="1">
      <c r="A23" s="37">
        <v>339</v>
      </c>
      <c r="B23" s="212" t="s">
        <v>451</v>
      </c>
      <c r="C23" s="174" t="s">
        <v>27</v>
      </c>
      <c r="D23" s="133" t="s">
        <v>17</v>
      </c>
      <c r="E23" s="162" t="s">
        <v>306</v>
      </c>
      <c r="F23" s="41">
        <v>4</v>
      </c>
      <c r="G23" s="322">
        <v>236</v>
      </c>
      <c r="H23" s="210" t="s">
        <v>63</v>
      </c>
      <c r="I23" s="224"/>
      <c r="L23" s="166"/>
    </row>
    <row r="24" spans="1:12" s="6" customFormat="1" ht="29.25" customHeight="1">
      <c r="A24" s="37">
        <v>340</v>
      </c>
      <c r="B24" s="174" t="s">
        <v>452</v>
      </c>
      <c r="C24" s="174" t="s">
        <v>27</v>
      </c>
      <c r="D24" s="133" t="s">
        <v>17</v>
      </c>
      <c r="E24" s="162" t="s">
        <v>25</v>
      </c>
      <c r="F24" s="41">
        <v>5</v>
      </c>
      <c r="G24" s="322">
        <v>84.3</v>
      </c>
      <c r="H24" s="210" t="s">
        <v>63</v>
      </c>
      <c r="I24" s="224"/>
      <c r="L24" s="166"/>
    </row>
    <row r="25" spans="1:12" s="6" customFormat="1" ht="29.25" customHeight="1">
      <c r="A25" s="37">
        <v>341</v>
      </c>
      <c r="B25" s="174" t="s">
        <v>453</v>
      </c>
      <c r="C25" s="174" t="s">
        <v>179</v>
      </c>
      <c r="D25" s="133" t="s">
        <v>17</v>
      </c>
      <c r="E25" s="162" t="s">
        <v>25</v>
      </c>
      <c r="F25" s="41">
        <v>6</v>
      </c>
      <c r="G25" s="322">
        <v>1283.88</v>
      </c>
      <c r="H25" s="210" t="s">
        <v>63</v>
      </c>
      <c r="I25" s="224"/>
      <c r="L25" s="166"/>
    </row>
    <row r="26" spans="1:12" s="6" customFormat="1" ht="29.25" customHeight="1">
      <c r="A26" s="37">
        <v>342</v>
      </c>
      <c r="B26" s="174" t="s">
        <v>454</v>
      </c>
      <c r="C26" s="174" t="s">
        <v>24</v>
      </c>
      <c r="D26" s="133" t="s">
        <v>17</v>
      </c>
      <c r="E26" s="162" t="s">
        <v>25</v>
      </c>
      <c r="F26" s="41">
        <v>5</v>
      </c>
      <c r="G26" s="322">
        <v>391.7</v>
      </c>
      <c r="H26" s="210" t="s">
        <v>63</v>
      </c>
      <c r="I26" s="224"/>
      <c r="L26" s="166"/>
    </row>
    <row r="27" spans="1:12" s="6" customFormat="1" ht="29.25" customHeight="1">
      <c r="A27" s="37">
        <v>343</v>
      </c>
      <c r="B27" s="174" t="s">
        <v>455</v>
      </c>
      <c r="C27" s="174" t="s">
        <v>24</v>
      </c>
      <c r="D27" s="133" t="s">
        <v>17</v>
      </c>
      <c r="E27" s="162" t="s">
        <v>25</v>
      </c>
      <c r="F27" s="41">
        <v>3</v>
      </c>
      <c r="G27" s="322">
        <v>274.5</v>
      </c>
      <c r="H27" s="210" t="s">
        <v>63</v>
      </c>
      <c r="I27" s="224"/>
      <c r="L27" s="166"/>
    </row>
    <row r="28" spans="1:12" s="6" customFormat="1" ht="29.25" customHeight="1">
      <c r="A28" s="37">
        <v>344</v>
      </c>
      <c r="B28" s="174" t="s">
        <v>456</v>
      </c>
      <c r="C28" s="174" t="s">
        <v>40</v>
      </c>
      <c r="D28" s="133" t="s">
        <v>17</v>
      </c>
      <c r="E28" s="162" t="s">
        <v>25</v>
      </c>
      <c r="F28" s="41">
        <v>2</v>
      </c>
      <c r="G28" s="322">
        <v>418.9</v>
      </c>
      <c r="H28" s="210" t="s">
        <v>63</v>
      </c>
      <c r="I28" s="224"/>
      <c r="L28" s="166"/>
    </row>
    <row r="29" spans="1:12" s="6" customFormat="1" ht="30" customHeight="1">
      <c r="A29" s="37">
        <v>345</v>
      </c>
      <c r="B29" s="214" t="s">
        <v>457</v>
      </c>
      <c r="C29" s="174" t="s">
        <v>24</v>
      </c>
      <c r="D29" s="133" t="s">
        <v>17</v>
      </c>
      <c r="E29" s="162" t="s">
        <v>22</v>
      </c>
      <c r="F29" s="41">
        <v>1</v>
      </c>
      <c r="G29" s="322">
        <v>35.37</v>
      </c>
      <c r="H29" s="210" t="s">
        <v>63</v>
      </c>
      <c r="I29" s="224"/>
      <c r="L29" s="166"/>
    </row>
    <row r="30" spans="1:12" s="6" customFormat="1" ht="29.25" customHeight="1">
      <c r="A30" s="37">
        <v>346</v>
      </c>
      <c r="B30" s="174" t="s">
        <v>458</v>
      </c>
      <c r="C30" s="174" t="s">
        <v>40</v>
      </c>
      <c r="D30" s="133" t="s">
        <v>17</v>
      </c>
      <c r="E30" s="162" t="s">
        <v>306</v>
      </c>
      <c r="F30" s="41">
        <v>4</v>
      </c>
      <c r="G30" s="322">
        <v>971.84</v>
      </c>
      <c r="H30" s="210" t="s">
        <v>63</v>
      </c>
      <c r="I30" s="224"/>
      <c r="L30" s="166"/>
    </row>
    <row r="31" spans="1:12" s="6" customFormat="1" ht="60" customHeight="1">
      <c r="A31" s="37">
        <v>347</v>
      </c>
      <c r="B31" s="174" t="s">
        <v>459</v>
      </c>
      <c r="C31" s="214" t="s">
        <v>460</v>
      </c>
      <c r="D31" s="133" t="s">
        <v>17</v>
      </c>
      <c r="E31" s="162" t="s">
        <v>306</v>
      </c>
      <c r="F31" s="41">
        <v>6</v>
      </c>
      <c r="G31" s="322">
        <v>564</v>
      </c>
      <c r="H31" s="210" t="s">
        <v>63</v>
      </c>
      <c r="I31" s="224"/>
      <c r="L31" s="166"/>
    </row>
    <row r="32" spans="1:12" s="6" customFormat="1" ht="30" customHeight="1">
      <c r="A32" s="37">
        <v>348</v>
      </c>
      <c r="B32" s="212" t="s">
        <v>461</v>
      </c>
      <c r="C32" s="174" t="s">
        <v>24</v>
      </c>
      <c r="D32" s="133" t="s">
        <v>17</v>
      </c>
      <c r="E32" s="162" t="s">
        <v>306</v>
      </c>
      <c r="F32" s="41">
        <v>2</v>
      </c>
      <c r="G32" s="322">
        <v>500</v>
      </c>
      <c r="H32" s="210" t="s">
        <v>63</v>
      </c>
      <c r="I32" s="224"/>
      <c r="L32" s="166"/>
    </row>
    <row r="33" spans="1:12" s="6" customFormat="1" ht="45" customHeight="1">
      <c r="A33" s="37">
        <v>349</v>
      </c>
      <c r="B33" s="174" t="s">
        <v>462</v>
      </c>
      <c r="C33" s="214" t="s">
        <v>38</v>
      </c>
      <c r="D33" s="133" t="s">
        <v>17</v>
      </c>
      <c r="E33" s="162" t="s">
        <v>306</v>
      </c>
      <c r="F33" s="41">
        <v>6</v>
      </c>
      <c r="G33" s="322">
        <v>1032</v>
      </c>
      <c r="H33" s="210" t="s">
        <v>63</v>
      </c>
      <c r="I33" s="224"/>
      <c r="L33" s="166"/>
    </row>
    <row r="34" spans="1:12" s="6" customFormat="1" ht="30" customHeight="1">
      <c r="A34" s="37">
        <v>350</v>
      </c>
      <c r="B34" s="212" t="s">
        <v>463</v>
      </c>
      <c r="C34" s="214" t="s">
        <v>44</v>
      </c>
      <c r="D34" s="133" t="s">
        <v>17</v>
      </c>
      <c r="E34" s="162" t="s">
        <v>306</v>
      </c>
      <c r="F34" s="41">
        <v>15</v>
      </c>
      <c r="G34" s="322">
        <v>300</v>
      </c>
      <c r="H34" s="210" t="s">
        <v>63</v>
      </c>
      <c r="I34" s="224"/>
      <c r="L34" s="166"/>
    </row>
    <row r="35" spans="1:12" s="6" customFormat="1" ht="60" customHeight="1">
      <c r="A35" s="37">
        <v>351</v>
      </c>
      <c r="B35" s="212" t="s">
        <v>464</v>
      </c>
      <c r="C35" s="174" t="s">
        <v>47</v>
      </c>
      <c r="D35" s="133" t="s">
        <v>17</v>
      </c>
      <c r="E35" s="162" t="s">
        <v>48</v>
      </c>
      <c r="F35" s="41">
        <v>10</v>
      </c>
      <c r="G35" s="322">
        <v>550</v>
      </c>
      <c r="H35" s="210" t="s">
        <v>63</v>
      </c>
      <c r="I35" s="224"/>
      <c r="L35" s="166"/>
    </row>
    <row r="36" spans="1:12" s="6" customFormat="1" ht="30" customHeight="1">
      <c r="A36" s="37">
        <v>352</v>
      </c>
      <c r="B36" s="174" t="s">
        <v>51</v>
      </c>
      <c r="C36" s="174" t="s">
        <v>52</v>
      </c>
      <c r="D36" s="133" t="s">
        <v>17</v>
      </c>
      <c r="E36" s="138" t="s">
        <v>25</v>
      </c>
      <c r="F36" s="215">
        <v>34</v>
      </c>
      <c r="G36" s="323">
        <v>676.94</v>
      </c>
      <c r="H36" s="210" t="s">
        <v>63</v>
      </c>
      <c r="I36" s="224"/>
      <c r="L36" s="166"/>
    </row>
    <row r="37" spans="1:12" ht="30" customHeight="1">
      <c r="A37" s="37">
        <v>353</v>
      </c>
      <c r="B37" s="38" t="s">
        <v>57</v>
      </c>
      <c r="C37" s="40" t="s">
        <v>58</v>
      </c>
      <c r="D37" s="40" t="s">
        <v>17</v>
      </c>
      <c r="E37" s="41" t="s">
        <v>25</v>
      </c>
      <c r="F37" s="41">
        <v>1</v>
      </c>
      <c r="G37" s="295">
        <v>2500.2</v>
      </c>
      <c r="H37" s="40" t="s">
        <v>63</v>
      </c>
      <c r="I37" s="224"/>
      <c r="L37" s="74"/>
    </row>
    <row r="38" spans="1:12" s="6" customFormat="1" ht="45" customHeight="1">
      <c r="A38" s="37">
        <v>354</v>
      </c>
      <c r="B38" s="174" t="s">
        <v>465</v>
      </c>
      <c r="C38" s="174" t="s">
        <v>204</v>
      </c>
      <c r="D38" s="133" t="s">
        <v>17</v>
      </c>
      <c r="E38" s="138" t="s">
        <v>126</v>
      </c>
      <c r="F38" s="217">
        <v>4.5</v>
      </c>
      <c r="G38" s="323">
        <v>15297.26</v>
      </c>
      <c r="H38" s="210" t="s">
        <v>63</v>
      </c>
      <c r="I38" s="224"/>
      <c r="L38" s="166"/>
    </row>
    <row r="39" spans="1:12" s="346" customFormat="1" ht="45" customHeight="1">
      <c r="A39" s="37">
        <v>355</v>
      </c>
      <c r="B39" s="347" t="s">
        <v>466</v>
      </c>
      <c r="C39" s="347" t="s">
        <v>204</v>
      </c>
      <c r="D39" s="133" t="s">
        <v>17</v>
      </c>
      <c r="E39" s="348" t="s">
        <v>126</v>
      </c>
      <c r="F39" s="349">
        <f>30.808+0.911965</f>
        <v>31.719965</v>
      </c>
      <c r="G39" s="350">
        <f>81532.45+2413.49</f>
        <v>83945.94</v>
      </c>
      <c r="H39" s="351" t="s">
        <v>63</v>
      </c>
      <c r="I39" s="224"/>
      <c r="L39" s="356"/>
    </row>
    <row r="40" spans="1:12" s="346" customFormat="1" ht="45" customHeight="1">
      <c r="A40" s="37">
        <v>356</v>
      </c>
      <c r="B40" s="347" t="s">
        <v>467</v>
      </c>
      <c r="C40" s="347" t="s">
        <v>168</v>
      </c>
      <c r="D40" s="133" t="s">
        <v>17</v>
      </c>
      <c r="E40" s="348" t="s">
        <v>306</v>
      </c>
      <c r="F40" s="352">
        <v>12</v>
      </c>
      <c r="G40" s="216">
        <v>3840</v>
      </c>
      <c r="H40" s="351" t="s">
        <v>63</v>
      </c>
      <c r="I40" s="224"/>
      <c r="L40" s="356"/>
    </row>
    <row r="41" spans="1:12" s="346" customFormat="1" ht="45" customHeight="1">
      <c r="A41" s="37">
        <v>357</v>
      </c>
      <c r="B41" s="347" t="s">
        <v>206</v>
      </c>
      <c r="C41" s="347" t="s">
        <v>204</v>
      </c>
      <c r="D41" s="133" t="s">
        <v>17</v>
      </c>
      <c r="E41" s="348" t="s">
        <v>207</v>
      </c>
      <c r="F41" s="353">
        <v>18.8</v>
      </c>
      <c r="G41" s="354">
        <v>5157.4</v>
      </c>
      <c r="H41" s="351" t="s">
        <v>63</v>
      </c>
      <c r="I41" s="224"/>
      <c r="L41" s="356"/>
    </row>
    <row r="42" spans="1:12" s="346" customFormat="1" ht="30" customHeight="1">
      <c r="A42" s="37">
        <v>358</v>
      </c>
      <c r="B42" s="355" t="s">
        <v>208</v>
      </c>
      <c r="C42" s="347" t="s">
        <v>209</v>
      </c>
      <c r="D42" s="133" t="s">
        <v>17</v>
      </c>
      <c r="E42" s="348" t="s">
        <v>210</v>
      </c>
      <c r="F42" s="353">
        <v>18.56</v>
      </c>
      <c r="G42" s="354">
        <v>3521.57</v>
      </c>
      <c r="H42" s="351" t="s">
        <v>63</v>
      </c>
      <c r="I42" s="224"/>
      <c r="L42" s="356"/>
    </row>
    <row r="43" spans="1:14" s="10" customFormat="1" ht="30" customHeight="1">
      <c r="A43" s="296"/>
      <c r="B43" s="260" t="s">
        <v>59</v>
      </c>
      <c r="C43" s="261"/>
      <c r="D43" s="262"/>
      <c r="E43" s="263"/>
      <c r="F43" s="263"/>
      <c r="G43" s="297">
        <f>SUM(G9:G42)</f>
        <v>135748</v>
      </c>
      <c r="H43" s="265"/>
      <c r="I43" s="224"/>
      <c r="K43" s="267">
        <f>SUM(K9:K42)</f>
        <v>0</v>
      </c>
      <c r="L43" s="267">
        <f>SUM(L9:L42)</f>
        <v>1266.92</v>
      </c>
      <c r="N43" s="267">
        <f>K43-M43</f>
        <v>0</v>
      </c>
    </row>
    <row r="44" spans="1:14" ht="30" customHeight="1">
      <c r="A44" s="37">
        <v>359</v>
      </c>
      <c r="B44" s="38" t="s">
        <v>220</v>
      </c>
      <c r="C44" s="40" t="s">
        <v>221</v>
      </c>
      <c r="D44" s="40" t="s">
        <v>62</v>
      </c>
      <c r="E44" s="41" t="s">
        <v>34</v>
      </c>
      <c r="F44" s="222">
        <v>15</v>
      </c>
      <c r="G44" s="324">
        <v>201</v>
      </c>
      <c r="H44" s="210" t="s">
        <v>63</v>
      </c>
      <c r="I44" s="224"/>
      <c r="K44" s="74"/>
      <c r="L44" s="74"/>
      <c r="N44" s="74"/>
    </row>
    <row r="45" spans="1:14" ht="30" customHeight="1">
      <c r="A45" s="37">
        <v>360</v>
      </c>
      <c r="B45" s="38" t="s">
        <v>216</v>
      </c>
      <c r="C45" s="40" t="s">
        <v>217</v>
      </c>
      <c r="D45" s="40" t="s">
        <v>62</v>
      </c>
      <c r="E45" s="41" t="s">
        <v>34</v>
      </c>
      <c r="F45" s="222">
        <v>60</v>
      </c>
      <c r="G45" s="324">
        <f>313.5+823.5</f>
        <v>1137</v>
      </c>
      <c r="H45" s="210" t="s">
        <v>63</v>
      </c>
      <c r="I45" s="224"/>
      <c r="K45" s="74"/>
      <c r="L45" s="74"/>
      <c r="N45" s="74"/>
    </row>
    <row r="46" spans="1:14" ht="30" customHeight="1">
      <c r="A46" s="37">
        <v>361</v>
      </c>
      <c r="B46" s="38" t="s">
        <v>64</v>
      </c>
      <c r="C46" s="40" t="s">
        <v>65</v>
      </c>
      <c r="D46" s="40" t="s">
        <v>62</v>
      </c>
      <c r="E46" s="41" t="s">
        <v>34</v>
      </c>
      <c r="F46" s="222">
        <v>500</v>
      </c>
      <c r="G46" s="324">
        <f>1750+6720</f>
        <v>8470</v>
      </c>
      <c r="H46" s="210" t="s">
        <v>63</v>
      </c>
      <c r="I46" s="224"/>
      <c r="K46" s="74"/>
      <c r="L46" s="74"/>
      <c r="N46" s="74"/>
    </row>
    <row r="47" spans="1:14" ht="30" customHeight="1">
      <c r="A47" s="37">
        <v>362</v>
      </c>
      <c r="B47" s="71" t="s">
        <v>218</v>
      </c>
      <c r="C47" s="40" t="s">
        <v>219</v>
      </c>
      <c r="D47" s="40" t="s">
        <v>62</v>
      </c>
      <c r="E47" s="41" t="s">
        <v>34</v>
      </c>
      <c r="F47" s="222">
        <v>5</v>
      </c>
      <c r="G47" s="324">
        <f>45.6+69</f>
        <v>114.6</v>
      </c>
      <c r="H47" s="210" t="s">
        <v>63</v>
      </c>
      <c r="I47" s="224"/>
      <c r="K47" s="74"/>
      <c r="L47" s="74"/>
      <c r="N47" s="74"/>
    </row>
    <row r="48" spans="1:14" ht="30" customHeight="1">
      <c r="A48" s="37">
        <v>363</v>
      </c>
      <c r="B48" s="38" t="s">
        <v>71</v>
      </c>
      <c r="C48" s="71" t="s">
        <v>72</v>
      </c>
      <c r="D48" s="40" t="s">
        <v>62</v>
      </c>
      <c r="E48" s="41" t="s">
        <v>34</v>
      </c>
      <c r="F48" s="222">
        <v>90</v>
      </c>
      <c r="G48" s="324">
        <f>340+1071</f>
        <v>1411</v>
      </c>
      <c r="H48" s="210" t="s">
        <v>63</v>
      </c>
      <c r="I48" s="224"/>
      <c r="K48" s="74"/>
      <c r="L48" s="74"/>
      <c r="N48" s="74"/>
    </row>
    <row r="49" spans="1:14" ht="30" customHeight="1">
      <c r="A49" s="37">
        <v>364</v>
      </c>
      <c r="B49" s="38" t="s">
        <v>73</v>
      </c>
      <c r="C49" s="40" t="s">
        <v>74</v>
      </c>
      <c r="D49" s="40" t="s">
        <v>62</v>
      </c>
      <c r="E49" s="41" t="s">
        <v>34</v>
      </c>
      <c r="F49" s="222">
        <v>40</v>
      </c>
      <c r="G49" s="324">
        <f>488+460</f>
        <v>948</v>
      </c>
      <c r="H49" s="210" t="s">
        <v>63</v>
      </c>
      <c r="I49" s="224"/>
      <c r="K49" s="74"/>
      <c r="L49" s="74"/>
      <c r="N49" s="74"/>
    </row>
    <row r="50" spans="1:14" ht="30" customHeight="1">
      <c r="A50" s="37">
        <v>365</v>
      </c>
      <c r="B50" s="38" t="s">
        <v>75</v>
      </c>
      <c r="C50" s="71" t="s">
        <v>76</v>
      </c>
      <c r="D50" s="40" t="s">
        <v>62</v>
      </c>
      <c r="E50" s="41" t="s">
        <v>77</v>
      </c>
      <c r="F50" s="222">
        <v>45</v>
      </c>
      <c r="G50" s="324">
        <f>727+2667</f>
        <v>3394</v>
      </c>
      <c r="H50" s="210" t="s">
        <v>63</v>
      </c>
      <c r="I50" s="224"/>
      <c r="K50" s="74"/>
      <c r="L50" s="74"/>
      <c r="N50" s="74"/>
    </row>
    <row r="51" spans="1:14" ht="30" customHeight="1">
      <c r="A51" s="37">
        <v>366</v>
      </c>
      <c r="B51" s="38" t="s">
        <v>78</v>
      </c>
      <c r="C51" s="40" t="s">
        <v>79</v>
      </c>
      <c r="D51" s="40" t="s">
        <v>62</v>
      </c>
      <c r="E51" s="41" t="s">
        <v>34</v>
      </c>
      <c r="F51" s="222">
        <v>40</v>
      </c>
      <c r="G51" s="324">
        <f>1538+10776.5</f>
        <v>12314.5</v>
      </c>
      <c r="H51" s="210" t="s">
        <v>63</v>
      </c>
      <c r="I51" s="224"/>
      <c r="K51" s="74"/>
      <c r="L51" s="74"/>
      <c r="N51" s="74"/>
    </row>
    <row r="52" spans="1:14" ht="45" customHeight="1">
      <c r="A52" s="37">
        <v>367</v>
      </c>
      <c r="B52" s="38" t="s">
        <v>80</v>
      </c>
      <c r="C52" s="40" t="s">
        <v>81</v>
      </c>
      <c r="D52" s="40" t="s">
        <v>62</v>
      </c>
      <c r="E52" s="41" t="s">
        <v>82</v>
      </c>
      <c r="F52" s="222">
        <f>9.9+42.3</f>
        <v>52.199999999999996</v>
      </c>
      <c r="G52" s="324">
        <f>425.7+1683.54</f>
        <v>2109.24</v>
      </c>
      <c r="H52" s="210" t="s">
        <v>63</v>
      </c>
      <c r="I52" s="224"/>
      <c r="K52" s="74"/>
      <c r="L52" s="74"/>
      <c r="N52" s="74"/>
    </row>
    <row r="53" spans="1:14" ht="30" customHeight="1">
      <c r="A53" s="37">
        <v>368</v>
      </c>
      <c r="B53" s="38" t="s">
        <v>83</v>
      </c>
      <c r="C53" s="40" t="s">
        <v>72</v>
      </c>
      <c r="D53" s="40" t="s">
        <v>62</v>
      </c>
      <c r="E53" s="41" t="s">
        <v>34</v>
      </c>
      <c r="F53" s="222">
        <v>106</v>
      </c>
      <c r="G53" s="324">
        <f>975+1725.2</f>
        <v>2700.2</v>
      </c>
      <c r="H53" s="210" t="s">
        <v>63</v>
      </c>
      <c r="I53" s="224"/>
      <c r="K53" s="74"/>
      <c r="L53" s="74"/>
      <c r="N53" s="74"/>
    </row>
    <row r="54" spans="1:14" ht="45" customHeight="1">
      <c r="A54" s="37">
        <v>369</v>
      </c>
      <c r="B54" s="38" t="s">
        <v>84</v>
      </c>
      <c r="C54" s="40" t="s">
        <v>85</v>
      </c>
      <c r="D54" s="40" t="s">
        <v>62</v>
      </c>
      <c r="E54" s="41" t="s">
        <v>34</v>
      </c>
      <c r="F54" s="222">
        <f>19.5</f>
        <v>19.5</v>
      </c>
      <c r="G54" s="324">
        <f>758.55+1536.6</f>
        <v>2295.1499999999996</v>
      </c>
      <c r="H54" s="210" t="s">
        <v>63</v>
      </c>
      <c r="I54" s="224"/>
      <c r="K54" s="74"/>
      <c r="L54" s="74"/>
      <c r="N54" s="74"/>
    </row>
    <row r="55" spans="1:14" ht="30" customHeight="1">
      <c r="A55" s="37">
        <v>370</v>
      </c>
      <c r="B55" s="344" t="s">
        <v>86</v>
      </c>
      <c r="C55" s="345" t="s">
        <v>87</v>
      </c>
      <c r="D55" s="40" t="s">
        <v>62</v>
      </c>
      <c r="E55" s="41" t="s">
        <v>34</v>
      </c>
      <c r="F55" s="222">
        <v>122</v>
      </c>
      <c r="G55" s="324">
        <v>15591.6</v>
      </c>
      <c r="H55" s="210" t="s">
        <v>63</v>
      </c>
      <c r="I55" s="224"/>
      <c r="K55" s="74"/>
      <c r="L55" s="74"/>
      <c r="N55" s="74"/>
    </row>
    <row r="56" spans="1:14" ht="30" customHeight="1">
      <c r="A56" s="37">
        <v>371</v>
      </c>
      <c r="B56" s="38" t="s">
        <v>268</v>
      </c>
      <c r="C56" s="40" t="s">
        <v>70</v>
      </c>
      <c r="D56" s="40" t="s">
        <v>62</v>
      </c>
      <c r="E56" s="41" t="s">
        <v>34</v>
      </c>
      <c r="F56" s="222">
        <v>6</v>
      </c>
      <c r="G56" s="324">
        <f>40+82.8</f>
        <v>122.8</v>
      </c>
      <c r="H56" s="210" t="s">
        <v>63</v>
      </c>
      <c r="I56" s="224"/>
      <c r="K56" s="74"/>
      <c r="L56" s="74"/>
      <c r="N56" s="74"/>
    </row>
    <row r="57" spans="1:14" ht="30" customHeight="1">
      <c r="A57" s="37">
        <v>372</v>
      </c>
      <c r="B57" s="38" t="s">
        <v>88</v>
      </c>
      <c r="C57" s="40" t="s">
        <v>85</v>
      </c>
      <c r="D57" s="40" t="s">
        <v>62</v>
      </c>
      <c r="E57" s="41" t="s">
        <v>34</v>
      </c>
      <c r="F57" s="222">
        <v>55</v>
      </c>
      <c r="G57" s="324">
        <f>1233+5607</f>
        <v>6840</v>
      </c>
      <c r="H57" s="210" t="s">
        <v>63</v>
      </c>
      <c r="I57" s="224"/>
      <c r="K57" s="74"/>
      <c r="L57" s="74"/>
      <c r="N57" s="74"/>
    </row>
    <row r="58" spans="1:14" ht="45" customHeight="1">
      <c r="A58" s="37">
        <v>373</v>
      </c>
      <c r="B58" s="38" t="s">
        <v>60</v>
      </c>
      <c r="C58" s="40" t="s">
        <v>61</v>
      </c>
      <c r="D58" s="40" t="s">
        <v>62</v>
      </c>
      <c r="E58" s="41" t="s">
        <v>34</v>
      </c>
      <c r="F58" s="222">
        <v>10</v>
      </c>
      <c r="G58" s="324">
        <v>436</v>
      </c>
      <c r="H58" s="210" t="s">
        <v>63</v>
      </c>
      <c r="I58" s="224"/>
      <c r="K58" s="74"/>
      <c r="L58" s="74"/>
      <c r="N58" s="74"/>
    </row>
    <row r="59" spans="1:14" ht="30" customHeight="1">
      <c r="A59" s="37">
        <v>374</v>
      </c>
      <c r="B59" s="38" t="s">
        <v>89</v>
      </c>
      <c r="C59" s="40" t="s">
        <v>90</v>
      </c>
      <c r="D59" s="40" t="s">
        <v>62</v>
      </c>
      <c r="E59" s="41" t="s">
        <v>34</v>
      </c>
      <c r="F59" s="222">
        <v>55</v>
      </c>
      <c r="G59" s="324">
        <f>745.5+1980</f>
        <v>2725.5</v>
      </c>
      <c r="H59" s="210" t="s">
        <v>63</v>
      </c>
      <c r="I59" s="224"/>
      <c r="K59" s="74"/>
      <c r="L59" s="74"/>
      <c r="N59" s="74"/>
    </row>
    <row r="60" spans="1:14" ht="30" customHeight="1">
      <c r="A60" s="37">
        <v>375</v>
      </c>
      <c r="B60" s="38" t="s">
        <v>91</v>
      </c>
      <c r="C60" s="40" t="s">
        <v>92</v>
      </c>
      <c r="D60" s="40" t="s">
        <v>62</v>
      </c>
      <c r="E60" s="41" t="s">
        <v>34</v>
      </c>
      <c r="F60" s="222">
        <f>15+75</f>
        <v>90</v>
      </c>
      <c r="G60" s="324">
        <f>2506.5+12540</f>
        <v>15046.5</v>
      </c>
      <c r="H60" s="210" t="s">
        <v>63</v>
      </c>
      <c r="I60" s="224"/>
      <c r="K60" s="74"/>
      <c r="L60" s="74"/>
      <c r="N60" s="74"/>
    </row>
    <row r="61" spans="1:14" ht="30" customHeight="1">
      <c r="A61" s="37">
        <v>376</v>
      </c>
      <c r="B61" s="38" t="s">
        <v>274</v>
      </c>
      <c r="C61" s="40" t="s">
        <v>275</v>
      </c>
      <c r="D61" s="40" t="s">
        <v>62</v>
      </c>
      <c r="E61" s="41" t="s">
        <v>34</v>
      </c>
      <c r="F61" s="222">
        <v>150</v>
      </c>
      <c r="G61" s="324">
        <f>1800+3900</f>
        <v>5700</v>
      </c>
      <c r="H61" s="210" t="s">
        <v>63</v>
      </c>
      <c r="I61" s="224"/>
      <c r="K61" s="74"/>
      <c r="L61" s="74"/>
      <c r="N61" s="74"/>
    </row>
    <row r="62" spans="1:14" ht="30" customHeight="1">
      <c r="A62" s="37">
        <v>377</v>
      </c>
      <c r="B62" s="38" t="s">
        <v>222</v>
      </c>
      <c r="C62" s="40" t="s">
        <v>223</v>
      </c>
      <c r="D62" s="40" t="s">
        <v>62</v>
      </c>
      <c r="E62" s="41" t="s">
        <v>34</v>
      </c>
      <c r="F62" s="222">
        <v>65</v>
      </c>
      <c r="G62" s="324">
        <f>300+960</f>
        <v>1260</v>
      </c>
      <c r="H62" s="210" t="s">
        <v>63</v>
      </c>
      <c r="I62" s="224"/>
      <c r="K62" s="74"/>
      <c r="L62" s="74"/>
      <c r="N62" s="74"/>
    </row>
    <row r="63" spans="1:14" ht="30" customHeight="1">
      <c r="A63" s="37">
        <v>378</v>
      </c>
      <c r="B63" s="38" t="s">
        <v>93</v>
      </c>
      <c r="C63" s="40" t="s">
        <v>94</v>
      </c>
      <c r="D63" s="40" t="s">
        <v>62</v>
      </c>
      <c r="E63" s="41" t="s">
        <v>34</v>
      </c>
      <c r="F63" s="222">
        <f>3.8+29.2</f>
        <v>33</v>
      </c>
      <c r="G63" s="324">
        <f>489.82+3796</f>
        <v>4285.82</v>
      </c>
      <c r="H63" s="210" t="s">
        <v>63</v>
      </c>
      <c r="I63" s="224"/>
      <c r="K63" s="74"/>
      <c r="L63" s="74"/>
      <c r="N63" s="74"/>
    </row>
    <row r="64" spans="1:14" ht="30" customHeight="1">
      <c r="A64" s="37">
        <v>379</v>
      </c>
      <c r="B64" s="38" t="s">
        <v>224</v>
      </c>
      <c r="C64" s="40" t="s">
        <v>225</v>
      </c>
      <c r="D64" s="40" t="s">
        <v>62</v>
      </c>
      <c r="E64" s="41" t="s">
        <v>34</v>
      </c>
      <c r="F64" s="222">
        <v>15</v>
      </c>
      <c r="G64" s="324">
        <f>62+127</f>
        <v>189</v>
      </c>
      <c r="H64" s="210" t="s">
        <v>63</v>
      </c>
      <c r="I64" s="224"/>
      <c r="K64" s="74"/>
      <c r="L64" s="74"/>
      <c r="N64" s="74"/>
    </row>
    <row r="65" spans="1:14" ht="30" customHeight="1">
      <c r="A65" s="37">
        <v>380</v>
      </c>
      <c r="B65" s="40" t="s">
        <v>226</v>
      </c>
      <c r="C65" s="40" t="s">
        <v>227</v>
      </c>
      <c r="D65" s="40" t="s">
        <v>62</v>
      </c>
      <c r="E65" s="41" t="s">
        <v>34</v>
      </c>
      <c r="F65" s="222">
        <v>15</v>
      </c>
      <c r="G65" s="324">
        <f>673.75+1387</f>
        <v>2060.75</v>
      </c>
      <c r="H65" s="210" t="s">
        <v>63</v>
      </c>
      <c r="I65" s="224"/>
      <c r="K65" s="74"/>
      <c r="L65" s="74"/>
      <c r="N65" s="74"/>
    </row>
    <row r="66" spans="1:14" ht="30" customHeight="1">
      <c r="A66" s="37">
        <v>381</v>
      </c>
      <c r="B66" s="40" t="s">
        <v>276</v>
      </c>
      <c r="C66" s="40" t="s">
        <v>277</v>
      </c>
      <c r="D66" s="40" t="s">
        <v>62</v>
      </c>
      <c r="E66" s="41" t="s">
        <v>34</v>
      </c>
      <c r="F66" s="222">
        <v>20</v>
      </c>
      <c r="G66" s="324">
        <f>1278.9+2464.8</f>
        <v>3743.7000000000003</v>
      </c>
      <c r="H66" s="210" t="s">
        <v>63</v>
      </c>
      <c r="I66" s="224"/>
      <c r="K66" s="74"/>
      <c r="L66" s="74"/>
      <c r="N66" s="74"/>
    </row>
    <row r="67" spans="1:14" ht="30" customHeight="1">
      <c r="A67" s="37">
        <v>382</v>
      </c>
      <c r="B67" s="40" t="s">
        <v>95</v>
      </c>
      <c r="C67" s="40" t="s">
        <v>96</v>
      </c>
      <c r="D67" s="40" t="s">
        <v>62</v>
      </c>
      <c r="E67" s="41" t="s">
        <v>34</v>
      </c>
      <c r="F67" s="222">
        <v>75</v>
      </c>
      <c r="G67" s="324">
        <f>2788.5+12696</f>
        <v>15484.5</v>
      </c>
      <c r="H67" s="210" t="s">
        <v>63</v>
      </c>
      <c r="I67" s="224"/>
      <c r="K67" s="74"/>
      <c r="L67" s="74"/>
      <c r="N67" s="74"/>
    </row>
    <row r="68" spans="1:14" ht="30" customHeight="1">
      <c r="A68" s="37">
        <v>383</v>
      </c>
      <c r="B68" s="40" t="s">
        <v>97</v>
      </c>
      <c r="C68" s="345" t="s">
        <v>87</v>
      </c>
      <c r="D68" s="40" t="s">
        <v>62</v>
      </c>
      <c r="E68" s="41" t="s">
        <v>34</v>
      </c>
      <c r="F68" s="222">
        <v>100</v>
      </c>
      <c r="G68" s="324">
        <v>23000</v>
      </c>
      <c r="H68" s="210" t="s">
        <v>63</v>
      </c>
      <c r="I68" s="224"/>
      <c r="K68" s="74"/>
      <c r="L68" s="74"/>
      <c r="N68" s="74"/>
    </row>
    <row r="69" spans="1:14" ht="45" customHeight="1">
      <c r="A69" s="37">
        <v>384</v>
      </c>
      <c r="B69" s="54" t="s">
        <v>98</v>
      </c>
      <c r="C69" s="40" t="s">
        <v>61</v>
      </c>
      <c r="D69" s="40" t="s">
        <v>62</v>
      </c>
      <c r="E69" s="41" t="s">
        <v>25</v>
      </c>
      <c r="F69" s="222">
        <v>600</v>
      </c>
      <c r="G69" s="324">
        <f>7590+9.18+109.2</f>
        <v>7708.38</v>
      </c>
      <c r="H69" s="210" t="s">
        <v>63</v>
      </c>
      <c r="I69" s="224"/>
      <c r="K69" s="74"/>
      <c r="L69" s="74"/>
      <c r="N69" s="74"/>
    </row>
    <row r="70" spans="1:14" ht="30" customHeight="1">
      <c r="A70" s="37">
        <v>385</v>
      </c>
      <c r="B70" s="40" t="s">
        <v>99</v>
      </c>
      <c r="C70" s="40" t="s">
        <v>100</v>
      </c>
      <c r="D70" s="40" t="s">
        <v>62</v>
      </c>
      <c r="E70" s="41" t="s">
        <v>34</v>
      </c>
      <c r="F70" s="222">
        <v>60.3</v>
      </c>
      <c r="G70" s="324">
        <f>3081.76+15310</f>
        <v>18391.760000000002</v>
      </c>
      <c r="H70" s="210" t="s">
        <v>63</v>
      </c>
      <c r="I70" s="224"/>
      <c r="K70" s="74"/>
      <c r="L70" s="74"/>
      <c r="N70" s="74"/>
    </row>
    <row r="71" spans="1:14" ht="30" customHeight="1">
      <c r="A71" s="37">
        <v>386</v>
      </c>
      <c r="B71" s="40" t="s">
        <v>228</v>
      </c>
      <c r="C71" s="40" t="s">
        <v>229</v>
      </c>
      <c r="D71" s="40" t="s">
        <v>62</v>
      </c>
      <c r="E71" s="41" t="s">
        <v>34</v>
      </c>
      <c r="F71" s="222">
        <v>60</v>
      </c>
      <c r="G71" s="324">
        <f>742.5+1840.5</f>
        <v>2583</v>
      </c>
      <c r="H71" s="210" t="s">
        <v>63</v>
      </c>
      <c r="I71" s="224"/>
      <c r="K71" s="74"/>
      <c r="L71" s="74"/>
      <c r="N71" s="74"/>
    </row>
    <row r="72" spans="1:14" ht="30" customHeight="1">
      <c r="A72" s="37">
        <v>387</v>
      </c>
      <c r="B72" s="40" t="s">
        <v>103</v>
      </c>
      <c r="C72" s="40" t="s">
        <v>104</v>
      </c>
      <c r="D72" s="40" t="s">
        <v>62</v>
      </c>
      <c r="E72" s="41" t="s">
        <v>25</v>
      </c>
      <c r="F72" s="222">
        <v>2000</v>
      </c>
      <c r="G72" s="324">
        <v>9280</v>
      </c>
      <c r="H72" s="210" t="s">
        <v>63</v>
      </c>
      <c r="I72" s="224"/>
      <c r="K72" s="74"/>
      <c r="L72" s="74"/>
      <c r="N72" s="74"/>
    </row>
    <row r="73" spans="1:14" ht="30" customHeight="1">
      <c r="A73" s="37">
        <v>388</v>
      </c>
      <c r="B73" s="40" t="s">
        <v>230</v>
      </c>
      <c r="C73" s="40" t="s">
        <v>231</v>
      </c>
      <c r="D73" s="40" t="s">
        <v>62</v>
      </c>
      <c r="E73" s="41" t="s">
        <v>77</v>
      </c>
      <c r="F73" s="222">
        <v>40</v>
      </c>
      <c r="G73" s="324">
        <f>586+1803</f>
        <v>2389</v>
      </c>
      <c r="H73" s="210" t="s">
        <v>63</v>
      </c>
      <c r="I73" s="224"/>
      <c r="K73" s="74"/>
      <c r="L73" s="74"/>
      <c r="N73" s="74"/>
    </row>
    <row r="74" spans="1:14" ht="30" customHeight="1">
      <c r="A74" s="37">
        <v>389</v>
      </c>
      <c r="B74" s="38" t="s">
        <v>468</v>
      </c>
      <c r="C74" s="40" t="s">
        <v>85</v>
      </c>
      <c r="D74" s="40" t="s">
        <v>62</v>
      </c>
      <c r="E74" s="41" t="s">
        <v>25</v>
      </c>
      <c r="F74" s="222">
        <v>20</v>
      </c>
      <c r="G74" s="324">
        <v>2880</v>
      </c>
      <c r="H74" s="210" t="s">
        <v>63</v>
      </c>
      <c r="I74" s="224"/>
      <c r="K74" s="74"/>
      <c r="L74" s="74"/>
      <c r="N74" s="74"/>
    </row>
    <row r="75" spans="1:14" ht="30" customHeight="1">
      <c r="A75" s="37">
        <v>390</v>
      </c>
      <c r="B75" s="38" t="s">
        <v>105</v>
      </c>
      <c r="C75" s="40" t="s">
        <v>70</v>
      </c>
      <c r="D75" s="40" t="s">
        <v>62</v>
      </c>
      <c r="E75" s="41" t="s">
        <v>34</v>
      </c>
      <c r="F75" s="222">
        <v>40</v>
      </c>
      <c r="G75" s="324">
        <f>339+987</f>
        <v>1326</v>
      </c>
      <c r="H75" s="210" t="s">
        <v>63</v>
      </c>
      <c r="I75" s="224"/>
      <c r="K75" s="74"/>
      <c r="L75" s="74"/>
      <c r="N75" s="74"/>
    </row>
    <row r="76" spans="1:14" ht="30" customHeight="1">
      <c r="A76" s="37">
        <v>391</v>
      </c>
      <c r="B76" s="38" t="s">
        <v>278</v>
      </c>
      <c r="C76" s="40" t="s">
        <v>70</v>
      </c>
      <c r="D76" s="40" t="s">
        <v>62</v>
      </c>
      <c r="E76" s="41" t="s">
        <v>34</v>
      </c>
      <c r="F76" s="222">
        <v>10</v>
      </c>
      <c r="G76" s="324">
        <v>181</v>
      </c>
      <c r="H76" s="210" t="s">
        <v>63</v>
      </c>
      <c r="I76" s="224"/>
      <c r="K76" s="74"/>
      <c r="L76" s="74"/>
      <c r="N76" s="74"/>
    </row>
    <row r="77" spans="1:14" s="10" customFormat="1" ht="30" customHeight="1">
      <c r="A77" s="296"/>
      <c r="B77" s="260" t="s">
        <v>106</v>
      </c>
      <c r="C77" s="261"/>
      <c r="D77" s="262"/>
      <c r="E77" s="263"/>
      <c r="F77" s="263"/>
      <c r="G77" s="297">
        <f>SUM(G44:G76)</f>
        <v>176320</v>
      </c>
      <c r="H77" s="265"/>
      <c r="I77" s="224"/>
      <c r="K77" s="267"/>
      <c r="L77" s="267"/>
      <c r="N77" s="267"/>
    </row>
    <row r="78" spans="1:12" ht="30" customHeight="1">
      <c r="A78" s="37">
        <v>392</v>
      </c>
      <c r="B78" s="98" t="s">
        <v>318</v>
      </c>
      <c r="C78" s="99" t="s">
        <v>108</v>
      </c>
      <c r="D78" s="99" t="s">
        <v>109</v>
      </c>
      <c r="E78" s="162" t="s">
        <v>110</v>
      </c>
      <c r="F78" s="41">
        <v>9</v>
      </c>
      <c r="G78" s="53">
        <v>849.6</v>
      </c>
      <c r="H78" s="137" t="s">
        <v>63</v>
      </c>
      <c r="I78" s="224"/>
      <c r="K78" s="12">
        <v>94.4</v>
      </c>
      <c r="L78" s="74">
        <f aca="true" t="shared" si="0" ref="L78:L85">G78-K78</f>
        <v>755.2</v>
      </c>
    </row>
    <row r="79" spans="1:12" ht="30" customHeight="1">
      <c r="A79" s="37">
        <v>393</v>
      </c>
      <c r="B79" s="98" t="s">
        <v>295</v>
      </c>
      <c r="C79" s="99" t="s">
        <v>112</v>
      </c>
      <c r="D79" s="99" t="s">
        <v>109</v>
      </c>
      <c r="E79" s="162" t="s">
        <v>113</v>
      </c>
      <c r="F79" s="41">
        <f>1500+1500</f>
        <v>3000</v>
      </c>
      <c r="G79" s="53">
        <f>1800+1800</f>
        <v>3600</v>
      </c>
      <c r="H79" s="137" t="s">
        <v>63</v>
      </c>
      <c r="I79" s="224"/>
      <c r="L79" s="74">
        <f t="shared" si="0"/>
        <v>3600</v>
      </c>
    </row>
    <row r="80" spans="1:12" ht="30" customHeight="1">
      <c r="A80" s="37">
        <v>394</v>
      </c>
      <c r="B80" s="38" t="s">
        <v>235</v>
      </c>
      <c r="C80" s="40" t="s">
        <v>116</v>
      </c>
      <c r="D80" s="99" t="s">
        <v>109</v>
      </c>
      <c r="E80" s="41" t="s">
        <v>113</v>
      </c>
      <c r="F80" s="50" t="s">
        <v>117</v>
      </c>
      <c r="G80" s="53">
        <v>492</v>
      </c>
      <c r="H80" s="137" t="s">
        <v>63</v>
      </c>
      <c r="I80" s="224"/>
      <c r="L80" s="74">
        <f t="shared" si="0"/>
        <v>492</v>
      </c>
    </row>
    <row r="81" spans="1:12" ht="45" customHeight="1">
      <c r="A81" s="37">
        <v>395</v>
      </c>
      <c r="B81" s="38" t="s">
        <v>236</v>
      </c>
      <c r="C81" s="40" t="s">
        <v>119</v>
      </c>
      <c r="D81" s="99" t="s">
        <v>109</v>
      </c>
      <c r="E81" s="41" t="s">
        <v>120</v>
      </c>
      <c r="F81" s="41" t="s">
        <v>121</v>
      </c>
      <c r="G81" s="53">
        <v>4576.86</v>
      </c>
      <c r="H81" s="137" t="s">
        <v>63</v>
      </c>
      <c r="I81" s="224"/>
      <c r="K81" s="12">
        <f>800</f>
        <v>800</v>
      </c>
      <c r="L81" s="74">
        <f t="shared" si="0"/>
        <v>3776.8599999999997</v>
      </c>
    </row>
    <row r="82" spans="1:12" ht="30" customHeight="1">
      <c r="A82" s="37">
        <v>396</v>
      </c>
      <c r="B82" s="38" t="s">
        <v>433</v>
      </c>
      <c r="C82" s="40" t="s">
        <v>234</v>
      </c>
      <c r="D82" s="40" t="s">
        <v>109</v>
      </c>
      <c r="E82" s="41" t="s">
        <v>113</v>
      </c>
      <c r="F82" s="41" t="s">
        <v>117</v>
      </c>
      <c r="G82" s="53">
        <v>3780</v>
      </c>
      <c r="H82" s="137" t="s">
        <v>63</v>
      </c>
      <c r="I82" s="224"/>
      <c r="K82" s="12">
        <f>154</f>
        <v>154</v>
      </c>
      <c r="L82" s="74">
        <f t="shared" si="0"/>
        <v>3626</v>
      </c>
    </row>
    <row r="83" spans="1:12" ht="30" customHeight="1">
      <c r="A83" s="37">
        <v>397</v>
      </c>
      <c r="B83" s="98" t="s">
        <v>296</v>
      </c>
      <c r="C83" s="99" t="s">
        <v>326</v>
      </c>
      <c r="D83" s="40" t="s">
        <v>109</v>
      </c>
      <c r="E83" s="41" t="s">
        <v>113</v>
      </c>
      <c r="F83" s="41" t="s">
        <v>117</v>
      </c>
      <c r="G83" s="53">
        <v>1413</v>
      </c>
      <c r="H83" s="137" t="s">
        <v>63</v>
      </c>
      <c r="I83" s="224"/>
      <c r="K83" s="12">
        <f>1418.81</f>
        <v>1418.81</v>
      </c>
      <c r="L83" s="74">
        <f t="shared" si="0"/>
        <v>-5.809999999999945</v>
      </c>
    </row>
    <row r="84" spans="1:12" ht="30" customHeight="1">
      <c r="A84" s="37">
        <v>398</v>
      </c>
      <c r="B84" s="38" t="s">
        <v>286</v>
      </c>
      <c r="C84" s="40" t="s">
        <v>239</v>
      </c>
      <c r="D84" s="40" t="s">
        <v>109</v>
      </c>
      <c r="E84" s="41" t="s">
        <v>285</v>
      </c>
      <c r="F84" s="41">
        <v>444.1</v>
      </c>
      <c r="G84" s="53">
        <v>1314.54</v>
      </c>
      <c r="H84" s="137" t="s">
        <v>19</v>
      </c>
      <c r="I84" s="224"/>
      <c r="K84" s="12">
        <v>1260</v>
      </c>
      <c r="L84" s="74">
        <f t="shared" si="0"/>
        <v>54.539999999999964</v>
      </c>
    </row>
    <row r="85" spans="1:12" ht="30" customHeight="1">
      <c r="A85" s="37">
        <v>399</v>
      </c>
      <c r="B85" s="38" t="s">
        <v>127</v>
      </c>
      <c r="C85" s="40" t="s">
        <v>239</v>
      </c>
      <c r="D85" s="40" t="s">
        <v>109</v>
      </c>
      <c r="E85" s="41" t="s">
        <v>285</v>
      </c>
      <c r="F85" s="41">
        <v>2500</v>
      </c>
      <c r="G85" s="53">
        <f>6450-1800</f>
        <v>4650</v>
      </c>
      <c r="H85" s="137" t="s">
        <v>19</v>
      </c>
      <c r="I85" s="224"/>
      <c r="K85" s="12">
        <f>470.96</f>
        <v>470.96</v>
      </c>
      <c r="L85" s="74">
        <f t="shared" si="0"/>
        <v>4179.04</v>
      </c>
    </row>
    <row r="86" spans="1:12" s="10" customFormat="1" ht="30" customHeight="1">
      <c r="A86" s="296"/>
      <c r="B86" s="260" t="s">
        <v>136</v>
      </c>
      <c r="C86" s="261"/>
      <c r="D86" s="262"/>
      <c r="E86" s="263"/>
      <c r="F86" s="263"/>
      <c r="G86" s="297">
        <f>SUM(G78:G85)</f>
        <v>20676</v>
      </c>
      <c r="H86" s="265"/>
      <c r="I86" s="224"/>
      <c r="K86" s="267">
        <f>SUM(K78:K85)</f>
        <v>4198.17</v>
      </c>
      <c r="L86" s="267" t="e">
        <f>SUM(#REF!)</f>
        <v>#REF!</v>
      </c>
    </row>
    <row r="87" spans="1:11" ht="30" customHeight="1">
      <c r="A87" s="37">
        <v>400</v>
      </c>
      <c r="B87" s="38" t="s">
        <v>137</v>
      </c>
      <c r="C87" s="52" t="s">
        <v>138</v>
      </c>
      <c r="D87" s="40" t="s">
        <v>139</v>
      </c>
      <c r="E87" s="41" t="s">
        <v>140</v>
      </c>
      <c r="F87" s="53">
        <f>G87/2878.55</f>
        <v>175.90106129822306</v>
      </c>
      <c r="G87" s="295">
        <v>506340</v>
      </c>
      <c r="H87" s="40" t="s">
        <v>63</v>
      </c>
      <c r="I87" s="224"/>
      <c r="K87" s="12">
        <f>209240</f>
        <v>209240</v>
      </c>
    </row>
    <row r="88" spans="1:9" s="10" customFormat="1" ht="30" customHeight="1">
      <c r="A88" s="296"/>
      <c r="B88" s="260" t="s">
        <v>141</v>
      </c>
      <c r="C88" s="261"/>
      <c r="D88" s="262"/>
      <c r="E88" s="263"/>
      <c r="F88" s="263"/>
      <c r="G88" s="297">
        <f>SUM(G87:G87)</f>
        <v>506340</v>
      </c>
      <c r="H88" s="265"/>
      <c r="I88" s="224"/>
    </row>
    <row r="89" spans="1:9" ht="30" customHeight="1">
      <c r="A89" s="37">
        <v>401</v>
      </c>
      <c r="B89" s="38" t="s">
        <v>244</v>
      </c>
      <c r="C89" s="54" t="s">
        <v>245</v>
      </c>
      <c r="D89" s="40" t="s">
        <v>246</v>
      </c>
      <c r="E89" s="41" t="s">
        <v>110</v>
      </c>
      <c r="F89" s="56">
        <f>G89/12.72</f>
        <v>111.63522012578616</v>
      </c>
      <c r="G89" s="295">
        <v>1420</v>
      </c>
      <c r="H89" s="40" t="s">
        <v>63</v>
      </c>
      <c r="I89" s="224"/>
    </row>
    <row r="90" spans="1:9" s="10" customFormat="1" ht="30" customHeight="1">
      <c r="A90" s="296"/>
      <c r="B90" s="260" t="s">
        <v>247</v>
      </c>
      <c r="C90" s="261"/>
      <c r="D90" s="262"/>
      <c r="E90" s="263"/>
      <c r="F90" s="263"/>
      <c r="G90" s="297">
        <f>SUM(G89:G89)</f>
        <v>1420</v>
      </c>
      <c r="H90" s="265"/>
      <c r="I90" s="224"/>
    </row>
    <row r="91" spans="1:11" ht="30" customHeight="1">
      <c r="A91" s="37">
        <v>402</v>
      </c>
      <c r="B91" s="38" t="s">
        <v>142</v>
      </c>
      <c r="C91" s="54" t="s">
        <v>143</v>
      </c>
      <c r="D91" s="40" t="s">
        <v>144</v>
      </c>
      <c r="E91" s="41" t="s">
        <v>145</v>
      </c>
      <c r="F91" s="56">
        <f>G91/4.14243</f>
        <v>12692.308620785385</v>
      </c>
      <c r="G91" s="295">
        <v>52577</v>
      </c>
      <c r="H91" s="40" t="s">
        <v>63</v>
      </c>
      <c r="I91" s="224"/>
      <c r="K91" s="12">
        <f>20064.55+386.53</f>
        <v>20451.079999999998</v>
      </c>
    </row>
    <row r="92" spans="1:9" s="10" customFormat="1" ht="30" customHeight="1">
      <c r="A92" s="296"/>
      <c r="B92" s="260" t="s">
        <v>146</v>
      </c>
      <c r="C92" s="261"/>
      <c r="D92" s="262"/>
      <c r="E92" s="263"/>
      <c r="F92" s="263"/>
      <c r="G92" s="297">
        <f>G91</f>
        <v>52577</v>
      </c>
      <c r="H92" s="265"/>
      <c r="I92" s="73"/>
    </row>
    <row r="93" spans="1:9" ht="22.5" customHeight="1">
      <c r="A93" s="19"/>
      <c r="B93" s="208" t="s">
        <v>151</v>
      </c>
      <c r="C93" s="167"/>
      <c r="D93" s="168"/>
      <c r="E93" s="207"/>
      <c r="F93" s="207"/>
      <c r="G93" s="304"/>
      <c r="H93" s="8"/>
      <c r="I93" s="223"/>
    </row>
    <row r="94" spans="1:9" ht="22.5" customHeight="1">
      <c r="A94" s="19"/>
      <c r="B94" s="106" t="s">
        <v>152</v>
      </c>
      <c r="C94" s="107"/>
      <c r="D94" s="108" t="s">
        <v>153</v>
      </c>
      <c r="E94" s="109"/>
      <c r="F94" s="109"/>
      <c r="G94" s="304"/>
      <c r="H94" s="171"/>
      <c r="I94" s="223"/>
    </row>
    <row r="95" spans="1:9" s="8" customFormat="1" ht="22.5" customHeight="1">
      <c r="A95" s="19"/>
      <c r="B95" s="111"/>
      <c r="C95" s="9"/>
      <c r="D95" s="112" t="s">
        <v>154</v>
      </c>
      <c r="E95" s="113" t="s">
        <v>155</v>
      </c>
      <c r="F95" s="114"/>
      <c r="G95" s="304"/>
      <c r="H95" s="171"/>
      <c r="I95" s="223"/>
    </row>
    <row r="96" spans="1:9" s="8" customFormat="1" ht="22.5" customHeight="1">
      <c r="A96" s="19"/>
      <c r="B96" s="115" t="s">
        <v>156</v>
      </c>
      <c r="C96" s="116"/>
      <c r="D96" s="108" t="s">
        <v>157</v>
      </c>
      <c r="E96" s="109"/>
      <c r="F96" s="109"/>
      <c r="G96" s="304"/>
      <c r="H96" s="171"/>
      <c r="I96" s="223"/>
    </row>
    <row r="97" spans="1:9" ht="22.5" customHeight="1">
      <c r="A97" s="19"/>
      <c r="B97" s="111"/>
      <c r="C97" s="9"/>
      <c r="D97" s="112" t="s">
        <v>154</v>
      </c>
      <c r="E97" s="113"/>
      <c r="F97" s="114"/>
      <c r="G97" s="304"/>
      <c r="H97" s="8"/>
      <c r="I97" s="141"/>
    </row>
    <row r="98" spans="1:9" s="8" customFormat="1" ht="22.5" customHeight="1">
      <c r="A98" s="19"/>
      <c r="B98" s="115" t="s">
        <v>158</v>
      </c>
      <c r="C98" s="9"/>
      <c r="D98" s="9"/>
      <c r="E98" s="9"/>
      <c r="F98" s="9"/>
      <c r="G98" s="304"/>
      <c r="H98" s="171"/>
      <c r="I98" s="223"/>
    </row>
    <row r="99" spans="1:9" s="2" customFormat="1" ht="30" customHeight="1">
      <c r="A99" s="169"/>
      <c r="B99" s="229" t="s">
        <v>159</v>
      </c>
      <c r="C99" s="167"/>
      <c r="D99" s="291" t="s">
        <v>160</v>
      </c>
      <c r="E99" s="229"/>
      <c r="F99" s="167"/>
      <c r="G99" s="307"/>
      <c r="H99" s="171"/>
      <c r="I99" s="326"/>
    </row>
    <row r="100" spans="1:9" ht="22.5" customHeight="1">
      <c r="A100" s="19"/>
      <c r="B100" s="230" t="s">
        <v>161</v>
      </c>
      <c r="C100" s="167"/>
      <c r="D100" s="168"/>
      <c r="E100" s="207"/>
      <c r="F100" s="207"/>
      <c r="G100" s="304"/>
      <c r="H100" s="8"/>
      <c r="I100" s="223"/>
    </row>
    <row r="101" spans="2:3" ht="15">
      <c r="B101" s="5"/>
      <c r="C101" s="5"/>
    </row>
    <row r="102" spans="2:4" ht="15">
      <c r="B102" s="3"/>
      <c r="C102" s="3"/>
      <c r="D102" s="3"/>
    </row>
  </sheetData>
  <sheetProtection/>
  <mergeCells count="19">
    <mergeCell ref="F1:G1"/>
    <mergeCell ref="B2:J2"/>
    <mergeCell ref="B43:C43"/>
    <mergeCell ref="B77:C77"/>
    <mergeCell ref="B86:C86"/>
    <mergeCell ref="B88:C88"/>
    <mergeCell ref="B90:C90"/>
    <mergeCell ref="B92:C92"/>
    <mergeCell ref="B102:C10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92"/>
  </mergeCells>
  <hyperlinks>
    <hyperlink ref="C37" r:id="rId1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6"/>
  <sheetViews>
    <sheetView view="pageBreakPreview" zoomScale="90" zoomScaleNormal="90" zoomScaleSheetLayoutView="90" workbookViewId="0" topLeftCell="A25">
      <selection activeCell="B26" sqref="B26:C59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10" s="8" customFormat="1" ht="45" customHeight="1">
      <c r="A2" s="317" t="s">
        <v>469</v>
      </c>
      <c r="B2" s="317"/>
      <c r="C2" s="317"/>
      <c r="D2" s="317"/>
      <c r="E2" s="317"/>
      <c r="F2" s="317"/>
      <c r="G2" s="317"/>
      <c r="H2" s="317"/>
      <c r="I2" s="317"/>
      <c r="J2" s="202"/>
    </row>
    <row r="3" spans="1:9" s="7" customFormat="1" ht="29.25" customHeight="1" hidden="1">
      <c r="A3" s="35" t="s">
        <v>470</v>
      </c>
      <c r="B3" s="173"/>
      <c r="C3" s="173"/>
      <c r="D3" s="173"/>
      <c r="E3" s="173"/>
      <c r="F3" s="173"/>
      <c r="G3" s="173"/>
      <c r="H3" s="173"/>
      <c r="I3" s="173"/>
    </row>
    <row r="4" spans="3:9" ht="15" customHeight="1">
      <c r="C4" s="124"/>
      <c r="D4" s="125" t="s">
        <v>4</v>
      </c>
      <c r="E4" s="124"/>
      <c r="F4" s="124"/>
      <c r="G4" s="3"/>
      <c r="H4" s="16"/>
      <c r="I4" s="16"/>
    </row>
    <row r="5" ht="15" customHeight="1">
      <c r="F5" s="3"/>
    </row>
    <row r="6" spans="1:11" ht="15.75" customHeight="1">
      <c r="A6" s="83" t="s">
        <v>5</v>
      </c>
      <c r="B6" s="27" t="s">
        <v>6</v>
      </c>
      <c r="C6" s="28" t="s">
        <v>7</v>
      </c>
      <c r="D6" s="28" t="s">
        <v>249</v>
      </c>
      <c r="E6" s="28" t="s">
        <v>9</v>
      </c>
      <c r="F6" s="28" t="s">
        <v>10</v>
      </c>
      <c r="G6" s="28" t="s">
        <v>250</v>
      </c>
      <c r="H6" s="28" t="s">
        <v>251</v>
      </c>
      <c r="I6" s="28" t="s">
        <v>13</v>
      </c>
      <c r="J6" s="71"/>
      <c r="K6" s="71"/>
    </row>
    <row r="7" spans="1:9" ht="31.5" customHeight="1">
      <c r="A7" s="84"/>
      <c r="B7" s="30"/>
      <c r="C7" s="31"/>
      <c r="D7" s="31"/>
      <c r="E7" s="31"/>
      <c r="F7" s="31"/>
      <c r="G7" s="31"/>
      <c r="H7" s="31"/>
      <c r="I7" s="31"/>
    </row>
    <row r="8" spans="1:9" ht="37.5" customHeight="1">
      <c r="A8" s="85"/>
      <c r="B8" s="33"/>
      <c r="C8" s="34"/>
      <c r="D8" s="34"/>
      <c r="E8" s="34"/>
      <c r="F8" s="34"/>
      <c r="G8" s="34"/>
      <c r="H8" s="34"/>
      <c r="I8" s="34"/>
    </row>
    <row r="9" spans="1:15" ht="15.75" customHeight="1">
      <c r="A9" s="32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72">
        <v>9</v>
      </c>
      <c r="O9" s="12" t="s">
        <v>471</v>
      </c>
    </row>
    <row r="10" spans="1:12" s="5" customFormat="1" ht="30" customHeight="1">
      <c r="A10" s="37">
        <v>262</v>
      </c>
      <c r="B10" s="38" t="s">
        <v>15</v>
      </c>
      <c r="C10" s="133" t="s">
        <v>16</v>
      </c>
      <c r="D10" s="40" t="s">
        <v>17</v>
      </c>
      <c r="E10" s="40" t="s">
        <v>18</v>
      </c>
      <c r="F10" s="41">
        <v>17</v>
      </c>
      <c r="G10" s="42">
        <v>3570</v>
      </c>
      <c r="H10" s="40" t="s">
        <v>19</v>
      </c>
      <c r="I10" s="205" t="s">
        <v>253</v>
      </c>
      <c r="L10" s="165">
        <f>G10-K10</f>
        <v>3570</v>
      </c>
    </row>
    <row r="11" spans="1:9" s="5" customFormat="1" ht="30" customHeight="1">
      <c r="A11" s="37">
        <v>263</v>
      </c>
      <c r="B11" s="38" t="s">
        <v>472</v>
      </c>
      <c r="C11" s="40" t="s">
        <v>24</v>
      </c>
      <c r="D11" s="40" t="s">
        <v>17</v>
      </c>
      <c r="E11" s="41" t="s">
        <v>25</v>
      </c>
      <c r="F11" s="56">
        <v>2</v>
      </c>
      <c r="G11" s="42">
        <v>348.1</v>
      </c>
      <c r="H11" s="40" t="s">
        <v>19</v>
      </c>
      <c r="I11" s="206"/>
    </row>
    <row r="12" spans="1:12" ht="30" customHeight="1">
      <c r="A12" s="37">
        <v>264</v>
      </c>
      <c r="B12" s="38" t="s">
        <v>422</v>
      </c>
      <c r="C12" s="40" t="s">
        <v>27</v>
      </c>
      <c r="D12" s="40" t="s">
        <v>17</v>
      </c>
      <c r="E12" s="41" t="s">
        <v>25</v>
      </c>
      <c r="F12" s="41">
        <v>19</v>
      </c>
      <c r="G12" s="295">
        <v>1127.65</v>
      </c>
      <c r="H12" s="40" t="s">
        <v>19</v>
      </c>
      <c r="I12" s="206"/>
      <c r="L12" s="74">
        <f>G12-K12</f>
        <v>1127.65</v>
      </c>
    </row>
    <row r="13" spans="1:12" ht="45" customHeight="1">
      <c r="A13" s="37">
        <v>265</v>
      </c>
      <c r="B13" s="98" t="s">
        <v>473</v>
      </c>
      <c r="C13" s="99" t="s">
        <v>27</v>
      </c>
      <c r="D13" s="40" t="s">
        <v>17</v>
      </c>
      <c r="E13" s="41" t="s">
        <v>22</v>
      </c>
      <c r="F13" s="41">
        <v>2</v>
      </c>
      <c r="G13" s="295">
        <v>345</v>
      </c>
      <c r="H13" s="40" t="s">
        <v>19</v>
      </c>
      <c r="I13" s="206"/>
      <c r="L13" s="74">
        <f>G13-K13</f>
        <v>345</v>
      </c>
    </row>
    <row r="14" spans="1:12" ht="30" customHeight="1">
      <c r="A14" s="37">
        <v>266</v>
      </c>
      <c r="B14" s="98" t="s">
        <v>343</v>
      </c>
      <c r="C14" s="203" t="s">
        <v>179</v>
      </c>
      <c r="D14" s="40" t="s">
        <v>17</v>
      </c>
      <c r="E14" s="41" t="s">
        <v>25</v>
      </c>
      <c r="F14" s="41">
        <v>3</v>
      </c>
      <c r="G14" s="295">
        <v>258.06</v>
      </c>
      <c r="H14" s="40" t="s">
        <v>19</v>
      </c>
      <c r="I14" s="206"/>
      <c r="L14" s="74"/>
    </row>
    <row r="15" spans="1:9" s="5" customFormat="1" ht="45" customHeight="1">
      <c r="A15" s="37">
        <v>267</v>
      </c>
      <c r="B15" s="38" t="s">
        <v>474</v>
      </c>
      <c r="C15" s="40" t="s">
        <v>38</v>
      </c>
      <c r="D15" s="40" t="s">
        <v>17</v>
      </c>
      <c r="E15" s="41" t="s">
        <v>25</v>
      </c>
      <c r="F15" s="56">
        <v>1</v>
      </c>
      <c r="G15" s="42">
        <v>1170</v>
      </c>
      <c r="H15" s="40" t="s">
        <v>19</v>
      </c>
      <c r="I15" s="206"/>
    </row>
    <row r="16" spans="1:9" s="5" customFormat="1" ht="30" customHeight="1">
      <c r="A16" s="37">
        <v>268</v>
      </c>
      <c r="B16" s="38" t="s">
        <v>51</v>
      </c>
      <c r="C16" s="40" t="s">
        <v>52</v>
      </c>
      <c r="D16" s="40" t="s">
        <v>17</v>
      </c>
      <c r="E16" s="41" t="s">
        <v>25</v>
      </c>
      <c r="F16" s="56">
        <v>21</v>
      </c>
      <c r="G16" s="42">
        <v>417.9</v>
      </c>
      <c r="H16" s="40" t="s">
        <v>19</v>
      </c>
      <c r="I16" s="206"/>
    </row>
    <row r="17" spans="1:9" s="5" customFormat="1" ht="30" customHeight="1">
      <c r="A17" s="37">
        <v>269</v>
      </c>
      <c r="B17" s="40" t="s">
        <v>475</v>
      </c>
      <c r="C17" s="38" t="s">
        <v>44</v>
      </c>
      <c r="D17" s="40" t="s">
        <v>17</v>
      </c>
      <c r="E17" s="41" t="s">
        <v>25</v>
      </c>
      <c r="F17" s="56">
        <v>5</v>
      </c>
      <c r="G17" s="42">
        <v>1450</v>
      </c>
      <c r="H17" s="40" t="s">
        <v>19</v>
      </c>
      <c r="I17" s="206"/>
    </row>
    <row r="18" spans="1:9" s="5" customFormat="1" ht="45" customHeight="1">
      <c r="A18" s="37">
        <v>270</v>
      </c>
      <c r="B18" s="40" t="s">
        <v>476</v>
      </c>
      <c r="C18" s="38" t="s">
        <v>44</v>
      </c>
      <c r="D18" s="40" t="s">
        <v>17</v>
      </c>
      <c r="E18" s="41" t="s">
        <v>25</v>
      </c>
      <c r="F18" s="56">
        <v>1</v>
      </c>
      <c r="G18" s="42">
        <v>360</v>
      </c>
      <c r="H18" s="40" t="s">
        <v>19</v>
      </c>
      <c r="I18" s="206"/>
    </row>
    <row r="19" spans="1:9" s="5" customFormat="1" ht="30" customHeight="1">
      <c r="A19" s="37">
        <v>271</v>
      </c>
      <c r="B19" s="40" t="s">
        <v>477</v>
      </c>
      <c r="C19" s="38" t="s">
        <v>44</v>
      </c>
      <c r="D19" s="40" t="s">
        <v>17</v>
      </c>
      <c r="E19" s="41" t="s">
        <v>25</v>
      </c>
      <c r="F19" s="56">
        <v>1</v>
      </c>
      <c r="G19" s="42">
        <v>450</v>
      </c>
      <c r="H19" s="40" t="s">
        <v>19</v>
      </c>
      <c r="I19" s="206"/>
    </row>
    <row r="20" spans="1:9" s="5" customFormat="1" ht="30" customHeight="1">
      <c r="A20" s="37">
        <v>272</v>
      </c>
      <c r="B20" s="40" t="s">
        <v>478</v>
      </c>
      <c r="C20" s="38" t="s">
        <v>42</v>
      </c>
      <c r="D20" s="40" t="s">
        <v>17</v>
      </c>
      <c r="E20" s="41" t="s">
        <v>25</v>
      </c>
      <c r="F20" s="56">
        <v>1</v>
      </c>
      <c r="G20" s="42">
        <v>56.7</v>
      </c>
      <c r="H20" s="40" t="s">
        <v>19</v>
      </c>
      <c r="I20" s="206"/>
    </row>
    <row r="21" spans="1:9" s="5" customFormat="1" ht="30" customHeight="1">
      <c r="A21" s="37">
        <v>273</v>
      </c>
      <c r="B21" s="40" t="s">
        <v>41</v>
      </c>
      <c r="C21" s="38" t="s">
        <v>42</v>
      </c>
      <c r="D21" s="40" t="s">
        <v>17</v>
      </c>
      <c r="E21" s="41" t="s">
        <v>25</v>
      </c>
      <c r="F21" s="56">
        <v>3</v>
      </c>
      <c r="G21" s="42">
        <v>456</v>
      </c>
      <c r="H21" s="40" t="s">
        <v>19</v>
      </c>
      <c r="I21" s="206"/>
    </row>
    <row r="22" spans="1:9" s="5" customFormat="1" ht="45" customHeight="1">
      <c r="A22" s="37">
        <v>274</v>
      </c>
      <c r="B22" s="40" t="s">
        <v>479</v>
      </c>
      <c r="C22" s="38" t="s">
        <v>21</v>
      </c>
      <c r="D22" s="40" t="s">
        <v>17</v>
      </c>
      <c r="E22" s="41" t="s">
        <v>22</v>
      </c>
      <c r="F22" s="56">
        <v>3</v>
      </c>
      <c r="G22" s="42">
        <v>1110.39</v>
      </c>
      <c r="H22" s="40" t="s">
        <v>19</v>
      </c>
      <c r="I22" s="206"/>
    </row>
    <row r="23" spans="1:12" ht="30" customHeight="1">
      <c r="A23" s="37">
        <v>275</v>
      </c>
      <c r="B23" s="38" t="s">
        <v>57</v>
      </c>
      <c r="C23" s="40" t="s">
        <v>58</v>
      </c>
      <c r="D23" s="40" t="s">
        <v>17</v>
      </c>
      <c r="E23" s="41" t="s">
        <v>25</v>
      </c>
      <c r="F23" s="41">
        <v>1</v>
      </c>
      <c r="G23" s="295">
        <v>2500.2</v>
      </c>
      <c r="H23" s="40" t="s">
        <v>19</v>
      </c>
      <c r="I23" s="206"/>
      <c r="L23" s="74"/>
    </row>
    <row r="24" spans="1:9" s="5" customFormat="1" ht="60" customHeight="1">
      <c r="A24" s="37">
        <v>276</v>
      </c>
      <c r="B24" s="40" t="s">
        <v>480</v>
      </c>
      <c r="C24" s="38" t="s">
        <v>481</v>
      </c>
      <c r="D24" s="40" t="s">
        <v>17</v>
      </c>
      <c r="E24" s="41" t="s">
        <v>25</v>
      </c>
      <c r="F24" s="56">
        <v>54</v>
      </c>
      <c r="G24" s="42">
        <v>28620</v>
      </c>
      <c r="H24" s="40" t="s">
        <v>19</v>
      </c>
      <c r="I24" s="206"/>
    </row>
    <row r="25" spans="1:9" s="10" customFormat="1" ht="30" customHeight="1">
      <c r="A25" s="296"/>
      <c r="B25" s="260" t="s">
        <v>59</v>
      </c>
      <c r="C25" s="261"/>
      <c r="D25" s="262"/>
      <c r="E25" s="262"/>
      <c r="F25" s="263"/>
      <c r="G25" s="319">
        <f>SUM(G10:G24)</f>
        <v>42240</v>
      </c>
      <c r="H25" s="265"/>
      <c r="I25" s="206"/>
    </row>
    <row r="26" spans="1:9" ht="29.25" customHeight="1">
      <c r="A26" s="37">
        <v>277</v>
      </c>
      <c r="B26" s="71" t="s">
        <v>218</v>
      </c>
      <c r="C26" s="40" t="s">
        <v>219</v>
      </c>
      <c r="D26" s="40" t="s">
        <v>62</v>
      </c>
      <c r="E26" s="41" t="s">
        <v>34</v>
      </c>
      <c r="F26" s="69">
        <v>5</v>
      </c>
      <c r="G26" s="42">
        <v>115.03</v>
      </c>
      <c r="H26" s="40" t="s">
        <v>63</v>
      </c>
      <c r="I26" s="206"/>
    </row>
    <row r="27" spans="1:9" ht="29.25" customHeight="1">
      <c r="A27" s="37">
        <v>278</v>
      </c>
      <c r="B27" s="38" t="s">
        <v>268</v>
      </c>
      <c r="C27" s="40" t="s">
        <v>70</v>
      </c>
      <c r="D27" s="40" t="s">
        <v>62</v>
      </c>
      <c r="E27" s="41" t="s">
        <v>34</v>
      </c>
      <c r="F27" s="69">
        <v>5</v>
      </c>
      <c r="G27" s="42">
        <v>102.52</v>
      </c>
      <c r="H27" s="40" t="s">
        <v>63</v>
      </c>
      <c r="I27" s="206"/>
    </row>
    <row r="28" spans="1:9" ht="29.25" customHeight="1">
      <c r="A28" s="37">
        <v>279</v>
      </c>
      <c r="B28" s="38" t="s">
        <v>216</v>
      </c>
      <c r="C28" s="40" t="s">
        <v>217</v>
      </c>
      <c r="D28" s="40" t="s">
        <v>62</v>
      </c>
      <c r="E28" s="41" t="s">
        <v>34</v>
      </c>
      <c r="F28" s="69">
        <v>20</v>
      </c>
      <c r="G28" s="42">
        <v>379.9</v>
      </c>
      <c r="H28" s="40" t="s">
        <v>63</v>
      </c>
      <c r="I28" s="206"/>
    </row>
    <row r="29" spans="1:9" ht="29.25" customHeight="1">
      <c r="A29" s="37">
        <v>280</v>
      </c>
      <c r="B29" s="38" t="s">
        <v>64</v>
      </c>
      <c r="C29" s="40" t="s">
        <v>65</v>
      </c>
      <c r="D29" s="40" t="s">
        <v>62</v>
      </c>
      <c r="E29" s="41" t="s">
        <v>34</v>
      </c>
      <c r="F29" s="69">
        <f>350</f>
        <v>350</v>
      </c>
      <c r="G29" s="42">
        <v>5962.5</v>
      </c>
      <c r="H29" s="40" t="s">
        <v>63</v>
      </c>
      <c r="I29" s="206"/>
    </row>
    <row r="30" spans="1:9" ht="29.25" customHeight="1">
      <c r="A30" s="37">
        <v>281</v>
      </c>
      <c r="B30" s="38" t="s">
        <v>220</v>
      </c>
      <c r="C30" s="40" t="s">
        <v>221</v>
      </c>
      <c r="D30" s="40" t="s">
        <v>62</v>
      </c>
      <c r="E30" s="41" t="s">
        <v>34</v>
      </c>
      <c r="F30" s="69">
        <v>5</v>
      </c>
      <c r="G30" s="42">
        <v>65.95</v>
      </c>
      <c r="H30" s="40" t="s">
        <v>63</v>
      </c>
      <c r="I30" s="206"/>
    </row>
    <row r="31" spans="1:9" ht="29.25" customHeight="1">
      <c r="A31" s="37">
        <v>282</v>
      </c>
      <c r="B31" s="38" t="s">
        <v>71</v>
      </c>
      <c r="C31" s="71" t="s">
        <v>72</v>
      </c>
      <c r="D31" s="40" t="s">
        <v>62</v>
      </c>
      <c r="E31" s="41" t="s">
        <v>34</v>
      </c>
      <c r="F31" s="69">
        <v>70</v>
      </c>
      <c r="G31" s="42">
        <v>1092.8</v>
      </c>
      <c r="H31" s="40" t="s">
        <v>63</v>
      </c>
      <c r="I31" s="206"/>
    </row>
    <row r="32" spans="1:9" ht="44.25" customHeight="1">
      <c r="A32" s="37">
        <v>283</v>
      </c>
      <c r="B32" s="38" t="s">
        <v>73</v>
      </c>
      <c r="C32" s="40" t="s">
        <v>74</v>
      </c>
      <c r="D32" s="40" t="s">
        <v>62</v>
      </c>
      <c r="E32" s="41" t="s">
        <v>34</v>
      </c>
      <c r="F32" s="69">
        <v>25</v>
      </c>
      <c r="G32" s="42">
        <v>583.8</v>
      </c>
      <c r="H32" s="40" t="s">
        <v>63</v>
      </c>
      <c r="I32" s="206"/>
    </row>
    <row r="33" spans="1:9" ht="30" customHeight="1">
      <c r="A33" s="37">
        <v>284</v>
      </c>
      <c r="B33" s="38" t="s">
        <v>75</v>
      </c>
      <c r="C33" s="71" t="s">
        <v>76</v>
      </c>
      <c r="D33" s="40" t="s">
        <v>62</v>
      </c>
      <c r="E33" s="41" t="s">
        <v>77</v>
      </c>
      <c r="F33" s="69">
        <v>15</v>
      </c>
      <c r="G33" s="42">
        <v>1125.95</v>
      </c>
      <c r="H33" s="40" t="s">
        <v>63</v>
      </c>
      <c r="I33" s="206"/>
    </row>
    <row r="34" spans="1:9" ht="30" customHeight="1">
      <c r="A34" s="37">
        <v>285</v>
      </c>
      <c r="B34" s="38" t="s">
        <v>78</v>
      </c>
      <c r="C34" s="40" t="s">
        <v>79</v>
      </c>
      <c r="D34" s="40" t="s">
        <v>62</v>
      </c>
      <c r="E34" s="41" t="s">
        <v>34</v>
      </c>
      <c r="F34" s="69">
        <v>20</v>
      </c>
      <c r="G34" s="42">
        <v>6156.75</v>
      </c>
      <c r="H34" s="40" t="s">
        <v>63</v>
      </c>
      <c r="I34" s="206"/>
    </row>
    <row r="35" spans="1:9" ht="45" customHeight="1">
      <c r="A35" s="37">
        <v>286</v>
      </c>
      <c r="B35" s="38" t="s">
        <v>80</v>
      </c>
      <c r="C35" s="40" t="s">
        <v>81</v>
      </c>
      <c r="D35" s="40" t="s">
        <v>62</v>
      </c>
      <c r="E35" s="41" t="s">
        <v>82</v>
      </c>
      <c r="F35" s="69">
        <f>4.5+22.5</f>
        <v>27</v>
      </c>
      <c r="G35" s="42">
        <v>1089.9</v>
      </c>
      <c r="H35" s="40" t="s">
        <v>63</v>
      </c>
      <c r="I35" s="206"/>
    </row>
    <row r="36" spans="1:9" ht="30" customHeight="1">
      <c r="A36" s="37">
        <v>287</v>
      </c>
      <c r="B36" s="38" t="s">
        <v>83</v>
      </c>
      <c r="C36" s="40" t="s">
        <v>72</v>
      </c>
      <c r="D36" s="40" t="s">
        <v>62</v>
      </c>
      <c r="E36" s="41" t="s">
        <v>34</v>
      </c>
      <c r="F36" s="69">
        <v>70</v>
      </c>
      <c r="G36" s="42">
        <v>1690</v>
      </c>
      <c r="H36" s="40" t="s">
        <v>63</v>
      </c>
      <c r="I36" s="206"/>
    </row>
    <row r="37" spans="1:9" ht="44.25" customHeight="1">
      <c r="A37" s="37">
        <v>288</v>
      </c>
      <c r="B37" s="38" t="s">
        <v>84</v>
      </c>
      <c r="C37" s="40" t="s">
        <v>85</v>
      </c>
      <c r="D37" s="40" t="s">
        <v>62</v>
      </c>
      <c r="E37" s="41" t="s">
        <v>34</v>
      </c>
      <c r="F37" s="69">
        <f>4.55+9.1</f>
        <v>13.649999999999999</v>
      </c>
      <c r="G37" s="42">
        <v>1606.97</v>
      </c>
      <c r="H37" s="40" t="s">
        <v>63</v>
      </c>
      <c r="I37" s="206"/>
    </row>
    <row r="38" spans="1:9" ht="30" customHeight="1">
      <c r="A38" s="37">
        <v>289</v>
      </c>
      <c r="B38" s="344" t="s">
        <v>86</v>
      </c>
      <c r="C38" s="345" t="s">
        <v>87</v>
      </c>
      <c r="D38" s="40" t="s">
        <v>62</v>
      </c>
      <c r="E38" s="41" t="s">
        <v>34</v>
      </c>
      <c r="F38" s="69">
        <v>60</v>
      </c>
      <c r="G38" s="42">
        <v>8444.4</v>
      </c>
      <c r="H38" s="40" t="s">
        <v>63</v>
      </c>
      <c r="I38" s="206"/>
    </row>
    <row r="39" spans="1:9" ht="30" customHeight="1">
      <c r="A39" s="37">
        <v>290</v>
      </c>
      <c r="B39" s="38" t="s">
        <v>88</v>
      </c>
      <c r="C39" s="40" t="s">
        <v>85</v>
      </c>
      <c r="D39" s="40" t="s">
        <v>62</v>
      </c>
      <c r="E39" s="41" t="s">
        <v>34</v>
      </c>
      <c r="F39" s="69">
        <v>25</v>
      </c>
      <c r="G39" s="42">
        <v>3103.5</v>
      </c>
      <c r="H39" s="40" t="s">
        <v>63</v>
      </c>
      <c r="I39" s="206"/>
    </row>
    <row r="40" spans="1:9" ht="30" customHeight="1">
      <c r="A40" s="37">
        <v>291</v>
      </c>
      <c r="B40" s="40" t="s">
        <v>269</v>
      </c>
      <c r="C40" s="40" t="s">
        <v>270</v>
      </c>
      <c r="D40" s="40" t="s">
        <v>62</v>
      </c>
      <c r="E40" s="41" t="s">
        <v>34</v>
      </c>
      <c r="F40" s="69">
        <v>1</v>
      </c>
      <c r="G40" s="42">
        <v>374.43</v>
      </c>
      <c r="H40" s="40" t="s">
        <v>63</v>
      </c>
      <c r="I40" s="206"/>
    </row>
    <row r="41" spans="1:9" ht="30" customHeight="1">
      <c r="A41" s="37">
        <v>292</v>
      </c>
      <c r="B41" s="38" t="s">
        <v>89</v>
      </c>
      <c r="C41" s="40" t="s">
        <v>90</v>
      </c>
      <c r="D41" s="40" t="s">
        <v>62</v>
      </c>
      <c r="E41" s="41" t="s">
        <v>34</v>
      </c>
      <c r="F41" s="69">
        <v>40</v>
      </c>
      <c r="G41" s="42">
        <v>1984.2</v>
      </c>
      <c r="H41" s="40" t="s">
        <v>63</v>
      </c>
      <c r="I41" s="206"/>
    </row>
    <row r="42" spans="1:9" ht="30" customHeight="1">
      <c r="A42" s="37">
        <v>293</v>
      </c>
      <c r="B42" s="38" t="s">
        <v>91</v>
      </c>
      <c r="C42" s="40" t="s">
        <v>92</v>
      </c>
      <c r="D42" s="40" t="s">
        <v>62</v>
      </c>
      <c r="E42" s="41" t="s">
        <v>34</v>
      </c>
      <c r="F42" s="69">
        <v>70</v>
      </c>
      <c r="G42" s="42">
        <v>11704.5</v>
      </c>
      <c r="H42" s="40" t="s">
        <v>63</v>
      </c>
      <c r="I42" s="206"/>
    </row>
    <row r="43" spans="1:9" ht="30" customHeight="1">
      <c r="A43" s="37">
        <v>294</v>
      </c>
      <c r="B43" s="38" t="s">
        <v>222</v>
      </c>
      <c r="C43" s="40" t="s">
        <v>223</v>
      </c>
      <c r="D43" s="40" t="s">
        <v>62</v>
      </c>
      <c r="E43" s="41" t="s">
        <v>34</v>
      </c>
      <c r="F43" s="69">
        <v>35</v>
      </c>
      <c r="G43" s="42">
        <v>678.7</v>
      </c>
      <c r="H43" s="40" t="s">
        <v>63</v>
      </c>
      <c r="I43" s="206"/>
    </row>
    <row r="44" spans="1:9" ht="30" customHeight="1">
      <c r="A44" s="37">
        <v>295</v>
      </c>
      <c r="B44" s="38" t="s">
        <v>93</v>
      </c>
      <c r="C44" s="40" t="s">
        <v>94</v>
      </c>
      <c r="D44" s="40" t="s">
        <v>62</v>
      </c>
      <c r="E44" s="41" t="s">
        <v>34</v>
      </c>
      <c r="F44" s="69">
        <v>17</v>
      </c>
      <c r="G44" s="42">
        <v>2208.29</v>
      </c>
      <c r="H44" s="40" t="s">
        <v>63</v>
      </c>
      <c r="I44" s="206"/>
    </row>
    <row r="45" spans="1:9" ht="30" customHeight="1">
      <c r="A45" s="37">
        <v>296</v>
      </c>
      <c r="B45" s="38" t="s">
        <v>224</v>
      </c>
      <c r="C45" s="40" t="s">
        <v>225</v>
      </c>
      <c r="D45" s="40" t="s">
        <v>62</v>
      </c>
      <c r="E45" s="41" t="s">
        <v>34</v>
      </c>
      <c r="F45" s="69">
        <v>10</v>
      </c>
      <c r="G45" s="42">
        <v>127.1</v>
      </c>
      <c r="H45" s="40" t="s">
        <v>63</v>
      </c>
      <c r="I45" s="206"/>
    </row>
    <row r="46" spans="1:9" ht="30" customHeight="1">
      <c r="A46" s="37">
        <v>297</v>
      </c>
      <c r="B46" s="40" t="s">
        <v>482</v>
      </c>
      <c r="C46" s="40" t="s">
        <v>227</v>
      </c>
      <c r="D46" s="40" t="s">
        <v>62</v>
      </c>
      <c r="E46" s="41" t="s">
        <v>34</v>
      </c>
      <c r="F46" s="69">
        <v>15</v>
      </c>
      <c r="G46" s="42">
        <v>2077.08</v>
      </c>
      <c r="H46" s="40" t="s">
        <v>63</v>
      </c>
      <c r="I46" s="206"/>
    </row>
    <row r="47" spans="1:9" ht="30" customHeight="1">
      <c r="A47" s="37">
        <v>298</v>
      </c>
      <c r="B47" s="40" t="s">
        <v>276</v>
      </c>
      <c r="C47" s="40" t="s">
        <v>277</v>
      </c>
      <c r="D47" s="40" t="s">
        <v>62</v>
      </c>
      <c r="E47" s="41" t="s">
        <v>34</v>
      </c>
      <c r="F47" s="69">
        <v>10</v>
      </c>
      <c r="G47" s="42">
        <v>1876.04</v>
      </c>
      <c r="H47" s="40" t="s">
        <v>63</v>
      </c>
      <c r="I47" s="206"/>
    </row>
    <row r="48" spans="1:9" ht="30" customHeight="1">
      <c r="A48" s="37">
        <v>299</v>
      </c>
      <c r="B48" s="40" t="s">
        <v>95</v>
      </c>
      <c r="C48" s="40" t="s">
        <v>96</v>
      </c>
      <c r="D48" s="40" t="s">
        <v>62</v>
      </c>
      <c r="E48" s="41" t="s">
        <v>34</v>
      </c>
      <c r="F48" s="69">
        <v>40</v>
      </c>
      <c r="G48" s="42">
        <v>8210.1</v>
      </c>
      <c r="H48" s="40" t="s">
        <v>63</v>
      </c>
      <c r="I48" s="206"/>
    </row>
    <row r="49" spans="1:9" ht="30" customHeight="1">
      <c r="A49" s="37">
        <v>300</v>
      </c>
      <c r="B49" s="40" t="s">
        <v>97</v>
      </c>
      <c r="C49" s="345" t="s">
        <v>87</v>
      </c>
      <c r="D49" s="40" t="s">
        <v>62</v>
      </c>
      <c r="E49" s="41" t="s">
        <v>34</v>
      </c>
      <c r="F49" s="69">
        <v>65</v>
      </c>
      <c r="G49" s="42">
        <v>14950</v>
      </c>
      <c r="H49" s="40" t="s">
        <v>63</v>
      </c>
      <c r="I49" s="206"/>
    </row>
    <row r="50" spans="1:9" ht="45" customHeight="1">
      <c r="A50" s="37">
        <v>301</v>
      </c>
      <c r="B50" s="54" t="s">
        <v>98</v>
      </c>
      <c r="C50" s="40" t="s">
        <v>61</v>
      </c>
      <c r="D50" s="40" t="s">
        <v>62</v>
      </c>
      <c r="E50" s="41" t="s">
        <v>25</v>
      </c>
      <c r="F50" s="69">
        <v>360</v>
      </c>
      <c r="G50" s="42">
        <v>4590.62</v>
      </c>
      <c r="H50" s="40" t="s">
        <v>63</v>
      </c>
      <c r="I50" s="206"/>
    </row>
    <row r="51" spans="1:9" ht="30" customHeight="1">
      <c r="A51" s="37">
        <v>302</v>
      </c>
      <c r="B51" s="40" t="s">
        <v>99</v>
      </c>
      <c r="C51" s="40" t="s">
        <v>100</v>
      </c>
      <c r="D51" s="40" t="s">
        <v>62</v>
      </c>
      <c r="E51" s="41" t="s">
        <v>34</v>
      </c>
      <c r="F51" s="69">
        <v>26</v>
      </c>
      <c r="G51" s="42">
        <v>7639.51</v>
      </c>
      <c r="H51" s="40" t="s">
        <v>63</v>
      </c>
      <c r="I51" s="206"/>
    </row>
    <row r="52" spans="1:9" ht="30" customHeight="1">
      <c r="A52" s="37">
        <v>303</v>
      </c>
      <c r="B52" s="38" t="s">
        <v>274</v>
      </c>
      <c r="C52" s="40" t="s">
        <v>275</v>
      </c>
      <c r="D52" s="40" t="s">
        <v>62</v>
      </c>
      <c r="E52" s="41" t="s">
        <v>34</v>
      </c>
      <c r="F52" s="69">
        <v>50</v>
      </c>
      <c r="G52" s="42">
        <v>1950</v>
      </c>
      <c r="H52" s="40" t="s">
        <v>63</v>
      </c>
      <c r="I52" s="206"/>
    </row>
    <row r="53" spans="1:9" ht="30" customHeight="1">
      <c r="A53" s="37">
        <v>304</v>
      </c>
      <c r="B53" s="40" t="s">
        <v>228</v>
      </c>
      <c r="C53" s="40" t="s">
        <v>229</v>
      </c>
      <c r="D53" s="40" t="s">
        <v>62</v>
      </c>
      <c r="E53" s="41" t="s">
        <v>34</v>
      </c>
      <c r="F53" s="69">
        <v>20</v>
      </c>
      <c r="G53" s="42">
        <v>862.25</v>
      </c>
      <c r="H53" s="40" t="s">
        <v>63</v>
      </c>
      <c r="I53" s="206"/>
    </row>
    <row r="54" spans="1:9" ht="30" customHeight="1">
      <c r="A54" s="37">
        <v>305</v>
      </c>
      <c r="B54" s="40" t="s">
        <v>103</v>
      </c>
      <c r="C54" s="40" t="s">
        <v>104</v>
      </c>
      <c r="D54" s="40" t="s">
        <v>62</v>
      </c>
      <c r="E54" s="41" t="s">
        <v>25</v>
      </c>
      <c r="F54" s="69">
        <v>1200</v>
      </c>
      <c r="G54" s="42">
        <v>5568</v>
      </c>
      <c r="H54" s="40" t="s">
        <v>63</v>
      </c>
      <c r="I54" s="206"/>
    </row>
    <row r="55" spans="1:9" ht="30" customHeight="1">
      <c r="A55" s="37">
        <v>306</v>
      </c>
      <c r="B55" s="40" t="s">
        <v>430</v>
      </c>
      <c r="C55" s="40" t="s">
        <v>231</v>
      </c>
      <c r="D55" s="40" t="s">
        <v>62</v>
      </c>
      <c r="E55" s="41" t="s">
        <v>77</v>
      </c>
      <c r="F55" s="69">
        <v>15</v>
      </c>
      <c r="G55" s="42">
        <v>902.55</v>
      </c>
      <c r="H55" s="40" t="s">
        <v>63</v>
      </c>
      <c r="I55" s="206"/>
    </row>
    <row r="56" spans="1:9" ht="30" customHeight="1">
      <c r="A56" s="37">
        <v>307</v>
      </c>
      <c r="B56" s="38" t="s">
        <v>232</v>
      </c>
      <c r="C56" s="40" t="s">
        <v>85</v>
      </c>
      <c r="D56" s="40" t="s">
        <v>62</v>
      </c>
      <c r="E56" s="41" t="s">
        <v>34</v>
      </c>
      <c r="F56" s="69">
        <f>4.8+9.6</f>
        <v>14.399999999999999</v>
      </c>
      <c r="G56" s="42">
        <v>1695.26</v>
      </c>
      <c r="H56" s="40" t="s">
        <v>63</v>
      </c>
      <c r="I56" s="206"/>
    </row>
    <row r="57" spans="1:9" ht="30" customHeight="1">
      <c r="A57" s="37">
        <v>308</v>
      </c>
      <c r="B57" s="38" t="s">
        <v>105</v>
      </c>
      <c r="C57" s="40" t="s">
        <v>70</v>
      </c>
      <c r="D57" s="40" t="s">
        <v>62</v>
      </c>
      <c r="E57" s="41" t="s">
        <v>34</v>
      </c>
      <c r="F57" s="69">
        <v>30</v>
      </c>
      <c r="G57" s="42">
        <v>987.6</v>
      </c>
      <c r="H57" s="40" t="s">
        <v>63</v>
      </c>
      <c r="I57" s="206"/>
    </row>
    <row r="58" spans="1:9" ht="30" customHeight="1">
      <c r="A58" s="37">
        <v>309</v>
      </c>
      <c r="B58" s="40" t="s">
        <v>101</v>
      </c>
      <c r="C58" s="40" t="s">
        <v>102</v>
      </c>
      <c r="D58" s="40" t="s">
        <v>62</v>
      </c>
      <c r="E58" s="41" t="s">
        <v>34</v>
      </c>
      <c r="F58" s="69">
        <v>1.5</v>
      </c>
      <c r="G58" s="42">
        <v>959.5</v>
      </c>
      <c r="H58" s="40" t="s">
        <v>63</v>
      </c>
      <c r="I58" s="206"/>
    </row>
    <row r="59" spans="1:9" ht="30" customHeight="1">
      <c r="A59" s="37">
        <v>310</v>
      </c>
      <c r="B59" s="38" t="s">
        <v>278</v>
      </c>
      <c r="C59" s="40" t="s">
        <v>70</v>
      </c>
      <c r="D59" s="40" t="s">
        <v>62</v>
      </c>
      <c r="E59" s="41" t="s">
        <v>34</v>
      </c>
      <c r="F59" s="69">
        <v>3</v>
      </c>
      <c r="G59" s="42">
        <v>54.3</v>
      </c>
      <c r="H59" s="40" t="s">
        <v>63</v>
      </c>
      <c r="I59" s="206"/>
    </row>
    <row r="60" spans="1:9" s="10" customFormat="1" ht="30" customHeight="1">
      <c r="A60" s="296"/>
      <c r="B60" s="308" t="s">
        <v>106</v>
      </c>
      <c r="C60" s="261"/>
      <c r="D60" s="262"/>
      <c r="E60" s="262"/>
      <c r="F60" s="261"/>
      <c r="G60" s="319">
        <f>SUM(G26:G59)</f>
        <v>100920</v>
      </c>
      <c r="H60" s="265"/>
      <c r="I60" s="206"/>
    </row>
    <row r="61" spans="1:12" ht="30" customHeight="1">
      <c r="A61" s="37">
        <v>311</v>
      </c>
      <c r="B61" s="38" t="s">
        <v>235</v>
      </c>
      <c r="C61" s="40" t="s">
        <v>116</v>
      </c>
      <c r="D61" s="40" t="s">
        <v>109</v>
      </c>
      <c r="E61" s="40" t="s">
        <v>25</v>
      </c>
      <c r="F61" s="50">
        <v>6</v>
      </c>
      <c r="G61" s="295">
        <v>984</v>
      </c>
      <c r="H61" s="40" t="s">
        <v>63</v>
      </c>
      <c r="I61" s="206"/>
      <c r="K61" s="12">
        <f>308</f>
        <v>308</v>
      </c>
      <c r="L61" s="74">
        <f>G61-K61</f>
        <v>676</v>
      </c>
    </row>
    <row r="62" spans="1:12" ht="30" customHeight="1">
      <c r="A62" s="37">
        <v>312</v>
      </c>
      <c r="B62" s="38" t="s">
        <v>433</v>
      </c>
      <c r="C62" s="40" t="s">
        <v>234</v>
      </c>
      <c r="D62" s="40" t="s">
        <v>109</v>
      </c>
      <c r="E62" s="40" t="s">
        <v>25</v>
      </c>
      <c r="F62" s="50">
        <v>3</v>
      </c>
      <c r="G62" s="295">
        <v>780</v>
      </c>
      <c r="H62" s="40" t="s">
        <v>63</v>
      </c>
      <c r="I62" s="206"/>
      <c r="K62" s="12">
        <f>260</f>
        <v>260</v>
      </c>
      <c r="L62" s="74">
        <f>G62-K62</f>
        <v>520</v>
      </c>
    </row>
    <row r="63" spans="1:12" ht="30" customHeight="1">
      <c r="A63" s="37">
        <v>313</v>
      </c>
      <c r="B63" s="38" t="s">
        <v>130</v>
      </c>
      <c r="C63" s="40" t="s">
        <v>131</v>
      </c>
      <c r="D63" s="40" t="s">
        <v>109</v>
      </c>
      <c r="E63" s="40" t="s">
        <v>25</v>
      </c>
      <c r="F63" s="41">
        <v>6</v>
      </c>
      <c r="G63" s="295">
        <v>1680</v>
      </c>
      <c r="H63" s="40" t="s">
        <v>132</v>
      </c>
      <c r="I63" s="206"/>
      <c r="K63" s="12">
        <v>520</v>
      </c>
      <c r="L63" s="74">
        <f aca="true" t="shared" si="0" ref="L63:L72">G63-K63</f>
        <v>1160</v>
      </c>
    </row>
    <row r="64" spans="1:12" ht="30" customHeight="1">
      <c r="A64" s="37">
        <v>314</v>
      </c>
      <c r="B64" s="38" t="s">
        <v>431</v>
      </c>
      <c r="C64" s="40" t="s">
        <v>108</v>
      </c>
      <c r="D64" s="40" t="s">
        <v>109</v>
      </c>
      <c r="E64" s="40" t="s">
        <v>110</v>
      </c>
      <c r="F64" s="41">
        <v>6</v>
      </c>
      <c r="G64" s="295">
        <v>566.4</v>
      </c>
      <c r="H64" s="40" t="s">
        <v>63</v>
      </c>
      <c r="I64" s="206"/>
      <c r="K64" s="12">
        <v>94.4</v>
      </c>
      <c r="L64" s="74">
        <f t="shared" si="0"/>
        <v>472</v>
      </c>
    </row>
    <row r="65" spans="1:12" ht="45" customHeight="1">
      <c r="A65" s="37">
        <v>315</v>
      </c>
      <c r="B65" s="38" t="s">
        <v>236</v>
      </c>
      <c r="C65" s="40" t="s">
        <v>119</v>
      </c>
      <c r="D65" s="40" t="s">
        <v>109</v>
      </c>
      <c r="E65" s="40" t="s">
        <v>120</v>
      </c>
      <c r="F65" s="41" t="s">
        <v>121</v>
      </c>
      <c r="G65" s="295">
        <v>4373.79</v>
      </c>
      <c r="H65" s="40" t="s">
        <v>63</v>
      </c>
      <c r="I65" s="206"/>
      <c r="K65" s="12">
        <f>1342.43</f>
        <v>1342.43</v>
      </c>
      <c r="L65" s="74">
        <f t="shared" si="0"/>
        <v>3031.3599999999997</v>
      </c>
    </row>
    <row r="66" spans="1:12" ht="30" customHeight="1">
      <c r="A66" s="37">
        <v>316</v>
      </c>
      <c r="B66" s="98" t="s">
        <v>296</v>
      </c>
      <c r="C66" s="99" t="s">
        <v>326</v>
      </c>
      <c r="D66" s="40" t="s">
        <v>109</v>
      </c>
      <c r="E66" s="40" t="s">
        <v>113</v>
      </c>
      <c r="F66" s="41" t="s">
        <v>117</v>
      </c>
      <c r="G66" s="295">
        <v>1413</v>
      </c>
      <c r="H66" s="40" t="s">
        <v>63</v>
      </c>
      <c r="I66" s="206"/>
      <c r="K66" s="12">
        <f>470.96</f>
        <v>470.96</v>
      </c>
      <c r="L66" s="74">
        <f t="shared" si="0"/>
        <v>942.04</v>
      </c>
    </row>
    <row r="67" spans="1:12" ht="30" customHeight="1">
      <c r="A67" s="37">
        <v>317</v>
      </c>
      <c r="B67" s="98" t="s">
        <v>295</v>
      </c>
      <c r="C67" s="99" t="s">
        <v>112</v>
      </c>
      <c r="D67" s="40" t="s">
        <v>109</v>
      </c>
      <c r="E67" s="40" t="s">
        <v>113</v>
      </c>
      <c r="F67" s="41" t="s">
        <v>483</v>
      </c>
      <c r="G67" s="295">
        <v>1800</v>
      </c>
      <c r="H67" s="40" t="s">
        <v>63</v>
      </c>
      <c r="I67" s="206"/>
      <c r="K67" s="12">
        <v>300</v>
      </c>
      <c r="L67" s="74">
        <f t="shared" si="0"/>
        <v>1500</v>
      </c>
    </row>
    <row r="68" spans="1:12" ht="45" customHeight="1">
      <c r="A68" s="37">
        <v>318</v>
      </c>
      <c r="B68" s="38" t="s">
        <v>128</v>
      </c>
      <c r="C68" s="40" t="s">
        <v>129</v>
      </c>
      <c r="D68" s="40" t="s">
        <v>109</v>
      </c>
      <c r="E68" s="41" t="s">
        <v>25</v>
      </c>
      <c r="F68" s="41">
        <v>1</v>
      </c>
      <c r="G68" s="163">
        <v>48002</v>
      </c>
      <c r="H68" s="155" t="s">
        <v>63</v>
      </c>
      <c r="I68" s="206"/>
      <c r="L68" s="74"/>
    </row>
    <row r="69" spans="1:12" ht="30" customHeight="1">
      <c r="A69" s="37">
        <v>319</v>
      </c>
      <c r="B69" s="98" t="s">
        <v>484</v>
      </c>
      <c r="C69" s="99" t="s">
        <v>242</v>
      </c>
      <c r="D69" s="40" t="s">
        <v>109</v>
      </c>
      <c r="E69" s="40" t="s">
        <v>113</v>
      </c>
      <c r="F69" s="41">
        <v>1</v>
      </c>
      <c r="G69" s="295">
        <v>40000</v>
      </c>
      <c r="H69" s="40" t="s">
        <v>63</v>
      </c>
      <c r="I69" s="206"/>
      <c r="L69" s="74"/>
    </row>
    <row r="70" spans="1:12" ht="30" customHeight="1">
      <c r="A70" s="37">
        <v>320</v>
      </c>
      <c r="B70" s="98" t="s">
        <v>127</v>
      </c>
      <c r="C70" s="99" t="s">
        <v>239</v>
      </c>
      <c r="D70" s="40" t="s">
        <v>109</v>
      </c>
      <c r="E70" s="40" t="s">
        <v>285</v>
      </c>
      <c r="F70" s="41">
        <v>1212.9</v>
      </c>
      <c r="G70" s="295">
        <v>3129.28</v>
      </c>
      <c r="H70" s="40" t="s">
        <v>19</v>
      </c>
      <c r="I70" s="206"/>
      <c r="L70" s="74"/>
    </row>
    <row r="71" spans="1:12" ht="30" customHeight="1">
      <c r="A71" s="37">
        <v>321</v>
      </c>
      <c r="B71" s="38" t="s">
        <v>286</v>
      </c>
      <c r="C71" s="40" t="s">
        <v>239</v>
      </c>
      <c r="D71" s="40" t="s">
        <v>109</v>
      </c>
      <c r="E71" s="40" t="s">
        <v>285</v>
      </c>
      <c r="F71" s="41">
        <v>134.3</v>
      </c>
      <c r="G71" s="295">
        <v>397.53</v>
      </c>
      <c r="H71" s="40" t="s">
        <v>19</v>
      </c>
      <c r="I71" s="206"/>
      <c r="L71" s="74">
        <f t="shared" si="0"/>
        <v>397.53</v>
      </c>
    </row>
    <row r="72" spans="1:12" s="10" customFormat="1" ht="30" customHeight="1">
      <c r="A72" s="296"/>
      <c r="B72" s="260" t="s">
        <v>136</v>
      </c>
      <c r="C72" s="261"/>
      <c r="D72" s="262"/>
      <c r="E72" s="262"/>
      <c r="F72" s="263"/>
      <c r="G72" s="297">
        <f>SUM(G61:G71)</f>
        <v>103126</v>
      </c>
      <c r="H72" s="265"/>
      <c r="I72" s="206"/>
      <c r="L72" s="267">
        <f t="shared" si="0"/>
        <v>103126</v>
      </c>
    </row>
    <row r="73" spans="1:11" ht="30" customHeight="1">
      <c r="A73" s="37">
        <v>322</v>
      </c>
      <c r="B73" s="38" t="s">
        <v>137</v>
      </c>
      <c r="C73" s="52" t="s">
        <v>138</v>
      </c>
      <c r="D73" s="40" t="s">
        <v>139</v>
      </c>
      <c r="E73" s="40" t="s">
        <v>140</v>
      </c>
      <c r="F73" s="53">
        <f>G73/67.76</f>
        <v>3579.1027154663516</v>
      </c>
      <c r="G73" s="295">
        <v>242520</v>
      </c>
      <c r="H73" s="40" t="s">
        <v>63</v>
      </c>
      <c r="I73" s="206"/>
      <c r="K73" s="12">
        <f>102927.44</f>
        <v>102927.44</v>
      </c>
    </row>
    <row r="74" spans="1:9" s="10" customFormat="1" ht="30" customHeight="1">
      <c r="A74" s="296"/>
      <c r="B74" s="260" t="s">
        <v>141</v>
      </c>
      <c r="C74" s="261"/>
      <c r="D74" s="262"/>
      <c r="E74" s="262"/>
      <c r="F74" s="263"/>
      <c r="G74" s="297">
        <f>SUM(G73)</f>
        <v>242520</v>
      </c>
      <c r="H74" s="265"/>
      <c r="I74" s="206"/>
    </row>
    <row r="75" spans="1:9" ht="30.75" customHeight="1">
      <c r="A75" s="37">
        <v>323</v>
      </c>
      <c r="B75" s="38" t="s">
        <v>485</v>
      </c>
      <c r="C75" s="54" t="s">
        <v>245</v>
      </c>
      <c r="D75" s="40" t="s">
        <v>246</v>
      </c>
      <c r="E75" s="40" t="s">
        <v>110</v>
      </c>
      <c r="F75" s="56">
        <f>G75/12.72</f>
        <v>88.44339622641509</v>
      </c>
      <c r="G75" s="295">
        <v>1125</v>
      </c>
      <c r="H75" s="40" t="s">
        <v>63</v>
      </c>
      <c r="I75" s="206"/>
    </row>
    <row r="76" spans="1:9" s="10" customFormat="1" ht="29.25" customHeight="1">
      <c r="A76" s="296"/>
      <c r="B76" s="260" t="s">
        <v>247</v>
      </c>
      <c r="C76" s="261"/>
      <c r="D76" s="262"/>
      <c r="E76" s="262"/>
      <c r="F76" s="263"/>
      <c r="G76" s="297">
        <f>SUM(G75:G75)</f>
        <v>1125</v>
      </c>
      <c r="H76" s="265"/>
      <c r="I76" s="206"/>
    </row>
    <row r="77" spans="1:11" ht="30" customHeight="1">
      <c r="A77" s="37">
        <v>324</v>
      </c>
      <c r="B77" s="38" t="s">
        <v>142</v>
      </c>
      <c r="C77" s="54" t="s">
        <v>143</v>
      </c>
      <c r="D77" s="40" t="s">
        <v>144</v>
      </c>
      <c r="E77" s="40" t="s">
        <v>145</v>
      </c>
      <c r="F77" s="56">
        <f>G77/4.143</f>
        <v>5811.48925899107</v>
      </c>
      <c r="G77" s="295">
        <v>24077</v>
      </c>
      <c r="H77" s="40" t="s">
        <v>63</v>
      </c>
      <c r="I77" s="206"/>
      <c r="K77" s="12">
        <v>9301.85</v>
      </c>
    </row>
    <row r="78" spans="1:9" s="10" customFormat="1" ht="29.25" customHeight="1">
      <c r="A78" s="296"/>
      <c r="B78" s="260" t="s">
        <v>146</v>
      </c>
      <c r="C78" s="261"/>
      <c r="D78" s="262"/>
      <c r="E78" s="262"/>
      <c r="F78" s="263"/>
      <c r="G78" s="297">
        <f>SUM(G77)</f>
        <v>24077</v>
      </c>
      <c r="H78" s="265"/>
      <c r="I78" s="325"/>
    </row>
    <row r="79" spans="1:9" ht="22.5" customHeight="1">
      <c r="A79" s="19"/>
      <c r="B79" s="208" t="s">
        <v>151</v>
      </c>
      <c r="C79" s="167"/>
      <c r="D79" s="168"/>
      <c r="E79" s="168"/>
      <c r="F79" s="207"/>
      <c r="G79" s="304"/>
      <c r="H79" s="8"/>
      <c r="I79" s="223"/>
    </row>
    <row r="80" spans="1:9" ht="22.5" customHeight="1">
      <c r="A80" s="19"/>
      <c r="B80" s="106" t="s">
        <v>152</v>
      </c>
      <c r="C80" s="107"/>
      <c r="D80" s="108" t="s">
        <v>153</v>
      </c>
      <c r="E80" s="109"/>
      <c r="F80" s="109"/>
      <c r="G80" s="304"/>
      <c r="H80" s="171"/>
      <c r="I80" s="223"/>
    </row>
    <row r="81" spans="1:9" s="8" customFormat="1" ht="22.5" customHeight="1">
      <c r="A81" s="19"/>
      <c r="B81" s="111"/>
      <c r="C81" s="9"/>
      <c r="D81" s="112" t="s">
        <v>154</v>
      </c>
      <c r="E81" s="113" t="s">
        <v>155</v>
      </c>
      <c r="F81" s="114"/>
      <c r="G81" s="304"/>
      <c r="H81" s="171"/>
      <c r="I81" s="223"/>
    </row>
    <row r="82" spans="1:9" s="8" customFormat="1" ht="22.5" customHeight="1">
      <c r="A82" s="19"/>
      <c r="B82" s="115" t="s">
        <v>156</v>
      </c>
      <c r="C82" s="116"/>
      <c r="D82" s="108" t="s">
        <v>157</v>
      </c>
      <c r="E82" s="109"/>
      <c r="F82" s="109"/>
      <c r="G82" s="304"/>
      <c r="H82" s="171"/>
      <c r="I82" s="223"/>
    </row>
    <row r="83" spans="1:9" ht="22.5" customHeight="1">
      <c r="A83" s="19"/>
      <c r="B83" s="111"/>
      <c r="C83" s="9"/>
      <c r="D83" s="112" t="s">
        <v>154</v>
      </c>
      <c r="E83" s="113"/>
      <c r="F83" s="114"/>
      <c r="G83" s="304"/>
      <c r="H83" s="8"/>
      <c r="I83" s="141"/>
    </row>
    <row r="84" spans="1:9" s="8" customFormat="1" ht="22.5" customHeight="1">
      <c r="A84" s="19"/>
      <c r="B84" s="115" t="s">
        <v>158</v>
      </c>
      <c r="C84" s="9"/>
      <c r="D84" s="9"/>
      <c r="E84" s="9"/>
      <c r="F84" s="9"/>
      <c r="G84" s="304"/>
      <c r="H84" s="171"/>
      <c r="I84" s="223"/>
    </row>
    <row r="85" spans="1:9" s="171" customFormat="1" ht="30" customHeight="1">
      <c r="A85" s="169"/>
      <c r="B85" s="291" t="s">
        <v>159</v>
      </c>
      <c r="C85" s="2"/>
      <c r="D85" s="320" t="s">
        <v>160</v>
      </c>
      <c r="E85" s="320"/>
      <c r="F85" s="320"/>
      <c r="G85" s="307"/>
      <c r="I85" s="326"/>
    </row>
    <row r="86" spans="1:9" s="8" customFormat="1" ht="22.5" customHeight="1">
      <c r="A86" s="19"/>
      <c r="B86" s="119" t="s">
        <v>486</v>
      </c>
      <c r="C86" s="119"/>
      <c r="D86" s="119"/>
      <c r="E86" s="9"/>
      <c r="F86" s="9"/>
      <c r="G86" s="304"/>
      <c r="H86" s="171"/>
      <c r="I86" s="223"/>
    </row>
  </sheetData>
  <sheetProtection/>
  <mergeCells count="19">
    <mergeCell ref="F1:G1"/>
    <mergeCell ref="A2:I2"/>
    <mergeCell ref="A3:I3"/>
    <mergeCell ref="B25:C25"/>
    <mergeCell ref="B60:C60"/>
    <mergeCell ref="B72:C72"/>
    <mergeCell ref="B74:C74"/>
    <mergeCell ref="B76:C76"/>
    <mergeCell ref="B78:C7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I10:I77"/>
  </mergeCells>
  <hyperlinks>
    <hyperlink ref="C12" r:id="rId1" display="20.41.3; ДК 016:2010"/>
    <hyperlink ref="C23" r:id="rId2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98"/>
  <sheetViews>
    <sheetView view="pageBreakPreview" zoomScale="90" zoomScaleNormal="90" zoomScaleSheetLayoutView="90" workbookViewId="0" topLeftCell="A34">
      <selection activeCell="B41" sqref="B41:C70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172" t="s">
        <v>487</v>
      </c>
      <c r="B2" s="172"/>
      <c r="C2" s="172"/>
      <c r="D2" s="172"/>
      <c r="E2" s="172"/>
      <c r="F2" s="172"/>
      <c r="G2" s="172"/>
      <c r="H2" s="172"/>
      <c r="I2" s="172"/>
    </row>
    <row r="3" spans="3:9" ht="15" customHeight="1">
      <c r="C3" s="124"/>
      <c r="D3" s="125" t="s">
        <v>4</v>
      </c>
      <c r="E3" s="124"/>
      <c r="F3" s="124"/>
      <c r="G3" s="3"/>
      <c r="H3" s="16"/>
      <c r="I3" s="16"/>
    </row>
    <row r="4" ht="15" customHeight="1"/>
    <row r="5" spans="1:11" ht="15.75" customHeight="1">
      <c r="A5" s="26" t="s">
        <v>5</v>
      </c>
      <c r="B5" s="27" t="s">
        <v>6</v>
      </c>
      <c r="C5" s="28" t="s">
        <v>7</v>
      </c>
      <c r="D5" s="28" t="s">
        <v>249</v>
      </c>
      <c r="E5" s="28" t="s">
        <v>9</v>
      </c>
      <c r="F5" s="28" t="s">
        <v>10</v>
      </c>
      <c r="G5" s="28" t="s">
        <v>250</v>
      </c>
      <c r="H5" s="28" t="s">
        <v>251</v>
      </c>
      <c r="I5" s="28" t="s">
        <v>13</v>
      </c>
      <c r="J5" s="71"/>
      <c r="K5" s="71"/>
    </row>
    <row r="6" spans="1:9" ht="31.5" customHeight="1">
      <c r="A6" s="29"/>
      <c r="B6" s="30"/>
      <c r="C6" s="31"/>
      <c r="D6" s="31"/>
      <c r="E6" s="31"/>
      <c r="F6" s="31"/>
      <c r="G6" s="31"/>
      <c r="H6" s="31"/>
      <c r="I6" s="31"/>
    </row>
    <row r="7" spans="1:9" ht="37.5" customHeight="1">
      <c r="A7" s="32"/>
      <c r="B7" s="33"/>
      <c r="C7" s="34"/>
      <c r="D7" s="34"/>
      <c r="E7" s="34"/>
      <c r="F7" s="34"/>
      <c r="G7" s="34"/>
      <c r="H7" s="34"/>
      <c r="I7" s="34"/>
    </row>
    <row r="8" spans="1:9" ht="20.25" customHeight="1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72">
        <v>9</v>
      </c>
    </row>
    <row r="9" spans="1:14" ht="30" customHeight="1">
      <c r="A9" s="37">
        <v>186</v>
      </c>
      <c r="B9" s="38" t="s">
        <v>15</v>
      </c>
      <c r="C9" s="39" t="s">
        <v>16</v>
      </c>
      <c r="D9" s="40" t="s">
        <v>17</v>
      </c>
      <c r="E9" s="41" t="s">
        <v>18</v>
      </c>
      <c r="F9" s="41">
        <v>18</v>
      </c>
      <c r="G9" s="295">
        <v>3780</v>
      </c>
      <c r="H9" s="40" t="s">
        <v>63</v>
      </c>
      <c r="I9" s="73" t="s">
        <v>253</v>
      </c>
      <c r="L9" s="74">
        <f>G9-K9</f>
        <v>3780</v>
      </c>
      <c r="M9" s="12">
        <f>199-125</f>
        <v>74</v>
      </c>
      <c r="N9" s="12">
        <f>27223.2-17100</f>
        <v>10123.2</v>
      </c>
    </row>
    <row r="10" spans="1:12" ht="30" customHeight="1">
      <c r="A10" s="37">
        <v>187</v>
      </c>
      <c r="B10" s="94" t="s">
        <v>488</v>
      </c>
      <c r="C10" s="43" t="s">
        <v>24</v>
      </c>
      <c r="D10" s="40" t="s">
        <v>17</v>
      </c>
      <c r="E10" s="41" t="s">
        <v>25</v>
      </c>
      <c r="F10" s="41">
        <v>3</v>
      </c>
      <c r="G10" s="295">
        <v>369.09</v>
      </c>
      <c r="H10" s="40" t="s">
        <v>63</v>
      </c>
      <c r="I10" s="100"/>
      <c r="L10" s="74">
        <f>G10-K10</f>
        <v>369.09</v>
      </c>
    </row>
    <row r="11" spans="1:12" ht="29.25" customHeight="1">
      <c r="A11" s="37">
        <v>188</v>
      </c>
      <c r="B11" s="94" t="s">
        <v>23</v>
      </c>
      <c r="C11" s="43" t="s">
        <v>24</v>
      </c>
      <c r="D11" s="40" t="s">
        <v>17</v>
      </c>
      <c r="E11" s="41" t="s">
        <v>25</v>
      </c>
      <c r="F11" s="41">
        <v>3</v>
      </c>
      <c r="G11" s="295">
        <v>517.92</v>
      </c>
      <c r="H11" s="40" t="s">
        <v>63</v>
      </c>
      <c r="I11" s="100"/>
      <c r="L11" s="74"/>
    </row>
    <row r="12" spans="1:12" ht="30" customHeight="1">
      <c r="A12" s="37">
        <v>189</v>
      </c>
      <c r="B12" s="88" t="s">
        <v>28</v>
      </c>
      <c r="C12" s="43" t="s">
        <v>27</v>
      </c>
      <c r="D12" s="40" t="s">
        <v>17</v>
      </c>
      <c r="E12" s="41" t="s">
        <v>25</v>
      </c>
      <c r="F12" s="41">
        <v>5</v>
      </c>
      <c r="G12" s="295">
        <v>295</v>
      </c>
      <c r="H12" s="40" t="s">
        <v>63</v>
      </c>
      <c r="I12" s="100"/>
      <c r="L12" s="74">
        <f>G12-K12</f>
        <v>295</v>
      </c>
    </row>
    <row r="13" spans="1:12" ht="29.25" customHeight="1">
      <c r="A13" s="37">
        <v>190</v>
      </c>
      <c r="B13" s="174" t="s">
        <v>351</v>
      </c>
      <c r="C13" s="43" t="s">
        <v>31</v>
      </c>
      <c r="D13" s="40" t="s">
        <v>17</v>
      </c>
      <c r="E13" s="41" t="s">
        <v>22</v>
      </c>
      <c r="F13" s="41">
        <v>8</v>
      </c>
      <c r="G13" s="295">
        <v>210.08</v>
      </c>
      <c r="H13" s="40" t="s">
        <v>63</v>
      </c>
      <c r="I13" s="100"/>
      <c r="L13" s="74"/>
    </row>
    <row r="14" spans="1:12" ht="45" customHeight="1">
      <c r="A14" s="37">
        <v>191</v>
      </c>
      <c r="B14" s="88" t="s">
        <v>489</v>
      </c>
      <c r="C14" s="43" t="s">
        <v>391</v>
      </c>
      <c r="D14" s="40" t="s">
        <v>17</v>
      </c>
      <c r="E14" s="41" t="s">
        <v>25</v>
      </c>
      <c r="F14" s="41">
        <v>1</v>
      </c>
      <c r="G14" s="295">
        <v>350.16</v>
      </c>
      <c r="H14" s="40" t="s">
        <v>63</v>
      </c>
      <c r="I14" s="100"/>
      <c r="L14" s="74">
        <f>G14-K14</f>
        <v>350.16</v>
      </c>
    </row>
    <row r="15" spans="1:12" ht="29.25" customHeight="1">
      <c r="A15" s="37">
        <v>192</v>
      </c>
      <c r="B15" s="88" t="s">
        <v>291</v>
      </c>
      <c r="C15" s="43" t="s">
        <v>24</v>
      </c>
      <c r="D15" s="40" t="s">
        <v>17</v>
      </c>
      <c r="E15" s="41" t="s">
        <v>22</v>
      </c>
      <c r="F15" s="41">
        <v>15</v>
      </c>
      <c r="G15" s="295">
        <v>535.05</v>
      </c>
      <c r="H15" s="40" t="s">
        <v>63</v>
      </c>
      <c r="I15" s="100"/>
      <c r="L15" s="74"/>
    </row>
    <row r="16" spans="1:12" ht="60" customHeight="1">
      <c r="A16" s="37">
        <v>193</v>
      </c>
      <c r="B16" s="88" t="s">
        <v>490</v>
      </c>
      <c r="C16" s="43" t="s">
        <v>491</v>
      </c>
      <c r="D16" s="40" t="s">
        <v>17</v>
      </c>
      <c r="E16" s="41" t="s">
        <v>25</v>
      </c>
      <c r="F16" s="41">
        <v>1</v>
      </c>
      <c r="G16" s="295">
        <v>471.21</v>
      </c>
      <c r="H16" s="40" t="s">
        <v>63</v>
      </c>
      <c r="I16" s="100"/>
      <c r="L16" s="74">
        <f>G16-K16</f>
        <v>471.21</v>
      </c>
    </row>
    <row r="17" spans="1:12" ht="29.25" customHeight="1">
      <c r="A17" s="37">
        <v>194</v>
      </c>
      <c r="B17" s="88" t="s">
        <v>492</v>
      </c>
      <c r="C17" s="43" t="s">
        <v>493</v>
      </c>
      <c r="D17" s="40" t="s">
        <v>17</v>
      </c>
      <c r="E17" s="41" t="s">
        <v>25</v>
      </c>
      <c r="F17" s="41">
        <v>2</v>
      </c>
      <c r="G17" s="295">
        <v>481.14</v>
      </c>
      <c r="H17" s="40" t="s">
        <v>63</v>
      </c>
      <c r="I17" s="100"/>
      <c r="L17" s="74"/>
    </row>
    <row r="18" spans="1:12" ht="30" customHeight="1">
      <c r="A18" s="37">
        <v>195</v>
      </c>
      <c r="B18" s="94" t="s">
        <v>494</v>
      </c>
      <c r="C18" s="43" t="s">
        <v>197</v>
      </c>
      <c r="D18" s="40" t="s">
        <v>17</v>
      </c>
      <c r="E18" s="41" t="s">
        <v>22</v>
      </c>
      <c r="F18" s="41">
        <v>2</v>
      </c>
      <c r="G18" s="295">
        <v>942.26</v>
      </c>
      <c r="H18" s="40" t="s">
        <v>63</v>
      </c>
      <c r="I18" s="100"/>
      <c r="L18" s="74">
        <f>G18-K18</f>
        <v>942.26</v>
      </c>
    </row>
    <row r="19" spans="1:12" ht="45" customHeight="1">
      <c r="A19" s="37">
        <v>196</v>
      </c>
      <c r="B19" s="94" t="s">
        <v>292</v>
      </c>
      <c r="C19" s="43" t="s">
        <v>47</v>
      </c>
      <c r="D19" s="40" t="s">
        <v>17</v>
      </c>
      <c r="E19" s="41" t="s">
        <v>48</v>
      </c>
      <c r="F19" s="41">
        <v>12</v>
      </c>
      <c r="G19" s="295">
        <v>664.92</v>
      </c>
      <c r="H19" s="40" t="s">
        <v>63</v>
      </c>
      <c r="I19" s="100"/>
      <c r="L19" s="74"/>
    </row>
    <row r="20" spans="1:12" ht="30" customHeight="1">
      <c r="A20" s="37">
        <v>197</v>
      </c>
      <c r="B20" s="94" t="s">
        <v>51</v>
      </c>
      <c r="C20" s="43" t="s">
        <v>52</v>
      </c>
      <c r="D20" s="40" t="s">
        <v>17</v>
      </c>
      <c r="E20" s="41" t="s">
        <v>25</v>
      </c>
      <c r="F20" s="41">
        <v>60</v>
      </c>
      <c r="G20" s="295">
        <v>1194.6</v>
      </c>
      <c r="H20" s="40" t="s">
        <v>63</v>
      </c>
      <c r="I20" s="100"/>
      <c r="L20" s="74">
        <f>G20-K20</f>
        <v>1194.6</v>
      </c>
    </row>
    <row r="21" spans="1:12" ht="29.25" customHeight="1">
      <c r="A21" s="37">
        <v>198</v>
      </c>
      <c r="B21" s="154" t="s">
        <v>495</v>
      </c>
      <c r="C21" s="43" t="s">
        <v>496</v>
      </c>
      <c r="D21" s="40" t="s">
        <v>17</v>
      </c>
      <c r="E21" s="41" t="s">
        <v>25</v>
      </c>
      <c r="F21" s="41">
        <v>10</v>
      </c>
      <c r="G21" s="295">
        <v>28500</v>
      </c>
      <c r="H21" s="40" t="s">
        <v>63</v>
      </c>
      <c r="I21" s="100"/>
      <c r="L21" s="74"/>
    </row>
    <row r="22" spans="1:12" ht="29.25" customHeight="1">
      <c r="A22" s="37">
        <v>199</v>
      </c>
      <c r="B22" s="88" t="s">
        <v>497</v>
      </c>
      <c r="C22" s="43" t="s">
        <v>294</v>
      </c>
      <c r="D22" s="40" t="s">
        <v>17</v>
      </c>
      <c r="E22" s="41" t="s">
        <v>25</v>
      </c>
      <c r="F22" s="41">
        <v>36</v>
      </c>
      <c r="G22" s="295">
        <v>46800</v>
      </c>
      <c r="H22" s="40" t="s">
        <v>63</v>
      </c>
      <c r="I22" s="100"/>
      <c r="L22" s="74"/>
    </row>
    <row r="23" spans="1:12" ht="30" customHeight="1">
      <c r="A23" s="37">
        <v>200</v>
      </c>
      <c r="B23" s="175" t="s">
        <v>498</v>
      </c>
      <c r="C23" s="43" t="s">
        <v>33</v>
      </c>
      <c r="D23" s="40" t="s">
        <v>17</v>
      </c>
      <c r="E23" s="41" t="s">
        <v>313</v>
      </c>
      <c r="F23" s="41">
        <v>160</v>
      </c>
      <c r="G23" s="295">
        <v>16000</v>
      </c>
      <c r="H23" s="40" t="s">
        <v>63</v>
      </c>
      <c r="I23" s="100"/>
      <c r="L23" s="74">
        <f>G23-K23</f>
        <v>16000</v>
      </c>
    </row>
    <row r="24" spans="1:12" ht="29.25" customHeight="1">
      <c r="A24" s="37">
        <v>201</v>
      </c>
      <c r="B24" s="176" t="s">
        <v>499</v>
      </c>
      <c r="C24" s="43" t="s">
        <v>339</v>
      </c>
      <c r="D24" s="40" t="s">
        <v>17</v>
      </c>
      <c r="E24" s="41" t="s">
        <v>25</v>
      </c>
      <c r="F24" s="41">
        <v>12</v>
      </c>
      <c r="G24" s="295">
        <v>264</v>
      </c>
      <c r="H24" s="40" t="s">
        <v>63</v>
      </c>
      <c r="I24" s="100"/>
      <c r="L24" s="74"/>
    </row>
    <row r="25" spans="1:12" ht="30" customHeight="1">
      <c r="A25" s="37">
        <v>202</v>
      </c>
      <c r="B25" s="176" t="s">
        <v>500</v>
      </c>
      <c r="C25" s="43" t="s">
        <v>339</v>
      </c>
      <c r="D25" s="40" t="s">
        <v>17</v>
      </c>
      <c r="E25" s="41" t="s">
        <v>25</v>
      </c>
      <c r="F25" s="41">
        <v>9</v>
      </c>
      <c r="G25" s="295">
        <v>198</v>
      </c>
      <c r="H25" s="40" t="s">
        <v>63</v>
      </c>
      <c r="I25" s="100"/>
      <c r="L25" s="74">
        <f>G25-K25</f>
        <v>198</v>
      </c>
    </row>
    <row r="26" spans="1:12" ht="29.25" customHeight="1">
      <c r="A26" s="37">
        <v>203</v>
      </c>
      <c r="B26" s="97" t="s">
        <v>501</v>
      </c>
      <c r="C26" s="43" t="s">
        <v>204</v>
      </c>
      <c r="D26" s="40" t="s">
        <v>17</v>
      </c>
      <c r="E26" s="41" t="s">
        <v>25</v>
      </c>
      <c r="F26" s="41">
        <v>26</v>
      </c>
      <c r="G26" s="295">
        <v>2093.78</v>
      </c>
      <c r="H26" s="40" t="s">
        <v>63</v>
      </c>
      <c r="I26" s="100"/>
      <c r="L26" s="74"/>
    </row>
    <row r="27" spans="1:12" ht="45" customHeight="1">
      <c r="A27" s="37">
        <v>204</v>
      </c>
      <c r="B27" s="97" t="s">
        <v>502</v>
      </c>
      <c r="C27" s="43" t="s">
        <v>204</v>
      </c>
      <c r="D27" s="40" t="s">
        <v>17</v>
      </c>
      <c r="E27" s="41" t="s">
        <v>25</v>
      </c>
      <c r="F27" s="41">
        <v>17</v>
      </c>
      <c r="G27" s="295">
        <v>372.64</v>
      </c>
      <c r="H27" s="40" t="s">
        <v>63</v>
      </c>
      <c r="I27" s="100"/>
      <c r="L27" s="74">
        <f>G27-K27</f>
        <v>372.64</v>
      </c>
    </row>
    <row r="28" spans="1:12" ht="29.25" customHeight="1">
      <c r="A28" s="37">
        <v>205</v>
      </c>
      <c r="B28" s="97" t="s">
        <v>503</v>
      </c>
      <c r="C28" s="43" t="s">
        <v>504</v>
      </c>
      <c r="D28" s="40" t="s">
        <v>17</v>
      </c>
      <c r="E28" s="41" t="s">
        <v>25</v>
      </c>
      <c r="F28" s="41">
        <v>5</v>
      </c>
      <c r="G28" s="295">
        <v>2141</v>
      </c>
      <c r="H28" s="40" t="s">
        <v>63</v>
      </c>
      <c r="I28" s="100"/>
      <c r="L28" s="74"/>
    </row>
    <row r="29" spans="1:12" ht="45" customHeight="1">
      <c r="A29" s="37">
        <v>206</v>
      </c>
      <c r="B29" s="97" t="s">
        <v>505</v>
      </c>
      <c r="C29" s="43" t="s">
        <v>204</v>
      </c>
      <c r="D29" s="40" t="s">
        <v>17</v>
      </c>
      <c r="E29" s="41" t="s">
        <v>25</v>
      </c>
      <c r="F29" s="41">
        <v>21</v>
      </c>
      <c r="G29" s="295">
        <v>5228.16</v>
      </c>
      <c r="H29" s="40" t="s">
        <v>63</v>
      </c>
      <c r="I29" s="100"/>
      <c r="L29" s="74">
        <f>G29-K29</f>
        <v>5228.16</v>
      </c>
    </row>
    <row r="30" spans="1:12" ht="30" customHeight="1">
      <c r="A30" s="37">
        <v>207</v>
      </c>
      <c r="B30" s="97" t="s">
        <v>506</v>
      </c>
      <c r="C30" s="43" t="s">
        <v>204</v>
      </c>
      <c r="D30" s="40" t="s">
        <v>17</v>
      </c>
      <c r="E30" s="41" t="s">
        <v>205</v>
      </c>
      <c r="F30" s="41">
        <v>152.5</v>
      </c>
      <c r="G30" s="295">
        <v>53420.75</v>
      </c>
      <c r="H30" s="40" t="s">
        <v>63</v>
      </c>
      <c r="I30" s="100"/>
      <c r="L30" s="74"/>
    </row>
    <row r="31" spans="1:12" ht="60" customHeight="1">
      <c r="A31" s="37">
        <v>208</v>
      </c>
      <c r="B31" s="97" t="s">
        <v>507</v>
      </c>
      <c r="C31" s="43" t="s">
        <v>508</v>
      </c>
      <c r="D31" s="40" t="s">
        <v>17</v>
      </c>
      <c r="E31" s="41" t="s">
        <v>25</v>
      </c>
      <c r="F31" s="41">
        <v>49</v>
      </c>
      <c r="G31" s="295">
        <v>25970</v>
      </c>
      <c r="H31" s="40" t="s">
        <v>63</v>
      </c>
      <c r="I31" s="100"/>
      <c r="L31" s="74">
        <f>G31-K31</f>
        <v>25970</v>
      </c>
    </row>
    <row r="32" spans="1:12" ht="29.25" customHeight="1">
      <c r="A32" s="37">
        <v>209</v>
      </c>
      <c r="B32" s="97" t="s">
        <v>509</v>
      </c>
      <c r="C32" s="43" t="s">
        <v>197</v>
      </c>
      <c r="D32" s="40" t="s">
        <v>17</v>
      </c>
      <c r="E32" s="41" t="s">
        <v>22</v>
      </c>
      <c r="F32" s="41">
        <v>2</v>
      </c>
      <c r="G32" s="295">
        <v>90</v>
      </c>
      <c r="H32" s="40" t="s">
        <v>63</v>
      </c>
      <c r="I32" s="100"/>
      <c r="L32" s="74"/>
    </row>
    <row r="33" spans="1:12" ht="30" customHeight="1">
      <c r="A33" s="37">
        <v>210</v>
      </c>
      <c r="B33" s="97" t="s">
        <v>510</v>
      </c>
      <c r="C33" s="43" t="s">
        <v>197</v>
      </c>
      <c r="D33" s="40" t="s">
        <v>17</v>
      </c>
      <c r="E33" s="41" t="s">
        <v>25</v>
      </c>
      <c r="F33" s="41">
        <v>1200</v>
      </c>
      <c r="G33" s="295">
        <v>1116</v>
      </c>
      <c r="H33" s="40" t="s">
        <v>63</v>
      </c>
      <c r="I33" s="100"/>
      <c r="L33" s="74">
        <f>G33-K33</f>
        <v>1116</v>
      </c>
    </row>
    <row r="34" spans="1:12" ht="29.25" customHeight="1">
      <c r="A34" s="37">
        <v>211</v>
      </c>
      <c r="B34" s="97" t="s">
        <v>511</v>
      </c>
      <c r="C34" s="43" t="s">
        <v>179</v>
      </c>
      <c r="D34" s="40" t="s">
        <v>17</v>
      </c>
      <c r="E34" s="41" t="s">
        <v>25</v>
      </c>
      <c r="F34" s="41">
        <f>5+3</f>
        <v>8</v>
      </c>
      <c r="G34" s="295">
        <f>525+270.92</f>
        <v>795.9200000000001</v>
      </c>
      <c r="H34" s="40" t="s">
        <v>63</v>
      </c>
      <c r="I34" s="100"/>
      <c r="L34" s="74"/>
    </row>
    <row r="35" spans="1:12" ht="30" customHeight="1">
      <c r="A35" s="37">
        <v>212</v>
      </c>
      <c r="B35" s="38" t="s">
        <v>57</v>
      </c>
      <c r="C35" s="40" t="s">
        <v>58</v>
      </c>
      <c r="D35" s="40" t="s">
        <v>17</v>
      </c>
      <c r="E35" s="41" t="s">
        <v>25</v>
      </c>
      <c r="F35" s="41">
        <v>1</v>
      </c>
      <c r="G35" s="295">
        <v>2500.2</v>
      </c>
      <c r="H35" s="155" t="s">
        <v>19</v>
      </c>
      <c r="I35" s="100"/>
      <c r="L35" s="74"/>
    </row>
    <row r="36" spans="1:12" ht="45" customHeight="1">
      <c r="A36" s="37">
        <v>213</v>
      </c>
      <c r="B36" s="177" t="s">
        <v>466</v>
      </c>
      <c r="C36" s="43" t="s">
        <v>204</v>
      </c>
      <c r="D36" s="40" t="s">
        <v>17</v>
      </c>
      <c r="E36" s="41" t="s">
        <v>205</v>
      </c>
      <c r="F36" s="41">
        <v>31.262</v>
      </c>
      <c r="G36" s="295">
        <v>80062.92</v>
      </c>
      <c r="H36" s="40" t="s">
        <v>63</v>
      </c>
      <c r="I36" s="100"/>
      <c r="L36" s="74">
        <f>G36-K36</f>
        <v>80062.92</v>
      </c>
    </row>
    <row r="37" spans="1:12" ht="45" customHeight="1">
      <c r="A37" s="37">
        <v>214</v>
      </c>
      <c r="B37" s="177" t="s">
        <v>512</v>
      </c>
      <c r="C37" s="43" t="s">
        <v>168</v>
      </c>
      <c r="D37" s="40" t="s">
        <v>17</v>
      </c>
      <c r="E37" s="41" t="s">
        <v>25</v>
      </c>
      <c r="F37" s="41">
        <v>10</v>
      </c>
      <c r="G37" s="295">
        <v>3200</v>
      </c>
      <c r="H37" s="40" t="s">
        <v>63</v>
      </c>
      <c r="I37" s="100"/>
      <c r="L37" s="74"/>
    </row>
    <row r="38" spans="1:12" ht="45" customHeight="1">
      <c r="A38" s="37">
        <v>215</v>
      </c>
      <c r="B38" s="177" t="s">
        <v>513</v>
      </c>
      <c r="C38" s="43" t="s">
        <v>204</v>
      </c>
      <c r="D38" s="40" t="s">
        <v>17</v>
      </c>
      <c r="E38" s="41" t="s">
        <v>205</v>
      </c>
      <c r="F38" s="41">
        <v>6.72</v>
      </c>
      <c r="G38" s="295">
        <v>6115.2</v>
      </c>
      <c r="H38" s="40" t="s">
        <v>63</v>
      </c>
      <c r="I38" s="100"/>
      <c r="L38" s="74">
        <f>G38-K38</f>
        <v>6115.2</v>
      </c>
    </row>
    <row r="39" spans="1:12" ht="29.25" customHeight="1">
      <c r="A39" s="37">
        <v>216</v>
      </c>
      <c r="B39" s="177" t="s">
        <v>208</v>
      </c>
      <c r="C39" s="43" t="s">
        <v>209</v>
      </c>
      <c r="D39" s="40" t="s">
        <v>17</v>
      </c>
      <c r="E39" s="41" t="s">
        <v>25</v>
      </c>
      <c r="F39" s="41">
        <v>15.4</v>
      </c>
      <c r="G39" s="295">
        <v>2922</v>
      </c>
      <c r="H39" s="40" t="s">
        <v>63</v>
      </c>
      <c r="I39" s="100"/>
      <c r="L39" s="74"/>
    </row>
    <row r="40" spans="1:12" s="10" customFormat="1" ht="30" customHeight="1">
      <c r="A40" s="296"/>
      <c r="B40" s="308" t="s">
        <v>59</v>
      </c>
      <c r="C40" s="261"/>
      <c r="D40" s="262"/>
      <c r="E40" s="263"/>
      <c r="F40" s="263"/>
      <c r="G40" s="297">
        <f>SUM(G9:G39)</f>
        <v>287602.00000000006</v>
      </c>
      <c r="H40" s="265"/>
      <c r="I40" s="100"/>
      <c r="L40" s="267"/>
    </row>
    <row r="41" spans="1:12" ht="30" customHeight="1">
      <c r="A41" s="37">
        <v>217</v>
      </c>
      <c r="B41" s="38" t="s">
        <v>216</v>
      </c>
      <c r="C41" s="40" t="s">
        <v>217</v>
      </c>
      <c r="D41" s="40" t="s">
        <v>62</v>
      </c>
      <c r="E41" s="41" t="s">
        <v>34</v>
      </c>
      <c r="F41" s="69">
        <v>99</v>
      </c>
      <c r="G41" s="295">
        <v>1889.7</v>
      </c>
      <c r="H41" s="40" t="s">
        <v>63</v>
      </c>
      <c r="I41" s="100"/>
      <c r="L41" s="74"/>
    </row>
    <row r="42" spans="1:12" ht="30" customHeight="1">
      <c r="A42" s="37">
        <v>218</v>
      </c>
      <c r="B42" s="38" t="s">
        <v>64</v>
      </c>
      <c r="C42" s="40" t="s">
        <v>65</v>
      </c>
      <c r="D42" s="40" t="s">
        <v>62</v>
      </c>
      <c r="E42" s="41" t="s">
        <v>34</v>
      </c>
      <c r="F42" s="69">
        <v>750</v>
      </c>
      <c r="G42" s="295">
        <v>12775</v>
      </c>
      <c r="H42" s="40" t="s">
        <v>63</v>
      </c>
      <c r="I42" s="100"/>
      <c r="L42" s="74"/>
    </row>
    <row r="43" spans="1:12" ht="30" customHeight="1">
      <c r="A43" s="37">
        <v>219</v>
      </c>
      <c r="B43" s="40" t="s">
        <v>269</v>
      </c>
      <c r="C43" s="40" t="s">
        <v>270</v>
      </c>
      <c r="D43" s="40" t="s">
        <v>62</v>
      </c>
      <c r="E43" s="41" t="s">
        <v>34</v>
      </c>
      <c r="F43" s="69">
        <v>1</v>
      </c>
      <c r="G43" s="295">
        <v>374.4</v>
      </c>
      <c r="H43" s="40" t="s">
        <v>63</v>
      </c>
      <c r="I43" s="100"/>
      <c r="L43" s="74"/>
    </row>
    <row r="44" spans="1:12" ht="30" customHeight="1">
      <c r="A44" s="37">
        <v>220</v>
      </c>
      <c r="B44" s="38" t="s">
        <v>71</v>
      </c>
      <c r="C44" s="71" t="s">
        <v>72</v>
      </c>
      <c r="D44" s="40" t="s">
        <v>62</v>
      </c>
      <c r="E44" s="41" t="s">
        <v>34</v>
      </c>
      <c r="F44" s="69">
        <v>80</v>
      </c>
      <c r="G44" s="295">
        <v>1258</v>
      </c>
      <c r="H44" s="40" t="s">
        <v>63</v>
      </c>
      <c r="I44" s="100"/>
      <c r="L44" s="74"/>
    </row>
    <row r="45" spans="1:12" ht="30" customHeight="1">
      <c r="A45" s="37">
        <v>221</v>
      </c>
      <c r="B45" s="38" t="s">
        <v>73</v>
      </c>
      <c r="C45" s="40" t="s">
        <v>74</v>
      </c>
      <c r="D45" s="40" t="s">
        <v>62</v>
      </c>
      <c r="E45" s="41" t="s">
        <v>34</v>
      </c>
      <c r="F45" s="69">
        <v>75</v>
      </c>
      <c r="G45" s="295">
        <v>1760</v>
      </c>
      <c r="H45" s="40" t="s">
        <v>63</v>
      </c>
      <c r="I45" s="100"/>
      <c r="L45" s="74"/>
    </row>
    <row r="46" spans="1:12" ht="30" customHeight="1">
      <c r="A46" s="37">
        <v>222</v>
      </c>
      <c r="B46" s="38" t="s">
        <v>75</v>
      </c>
      <c r="C46" s="71" t="s">
        <v>76</v>
      </c>
      <c r="D46" s="40" t="s">
        <v>62</v>
      </c>
      <c r="E46" s="41" t="s">
        <v>77</v>
      </c>
      <c r="F46" s="69">
        <v>10</v>
      </c>
      <c r="G46" s="295">
        <v>748</v>
      </c>
      <c r="H46" s="40" t="s">
        <v>63</v>
      </c>
      <c r="I46" s="100"/>
      <c r="L46" s="74"/>
    </row>
    <row r="47" spans="1:12" ht="30" customHeight="1">
      <c r="A47" s="37">
        <v>223</v>
      </c>
      <c r="B47" s="38" t="s">
        <v>78</v>
      </c>
      <c r="C47" s="40" t="s">
        <v>79</v>
      </c>
      <c r="D47" s="40" t="s">
        <v>62</v>
      </c>
      <c r="E47" s="41" t="s">
        <v>34</v>
      </c>
      <c r="F47" s="69">
        <v>35</v>
      </c>
      <c r="G47" s="295">
        <v>10775</v>
      </c>
      <c r="H47" s="40" t="s">
        <v>63</v>
      </c>
      <c r="I47" s="100"/>
      <c r="L47" s="74"/>
    </row>
    <row r="48" spans="1:12" ht="30" customHeight="1">
      <c r="A48" s="37">
        <v>224</v>
      </c>
      <c r="B48" s="38" t="s">
        <v>80</v>
      </c>
      <c r="C48" s="40" t="s">
        <v>81</v>
      </c>
      <c r="D48" s="40" t="s">
        <v>62</v>
      </c>
      <c r="E48" s="41" t="s">
        <v>82</v>
      </c>
      <c r="F48" s="69">
        <f>75.6</f>
        <v>75.6</v>
      </c>
      <c r="G48" s="295">
        <v>3057.84</v>
      </c>
      <c r="H48" s="40" t="s">
        <v>63</v>
      </c>
      <c r="I48" s="100"/>
      <c r="L48" s="74"/>
    </row>
    <row r="49" spans="1:12" ht="30" customHeight="1">
      <c r="A49" s="37">
        <v>225</v>
      </c>
      <c r="B49" s="38" t="s">
        <v>83</v>
      </c>
      <c r="C49" s="40" t="s">
        <v>72</v>
      </c>
      <c r="D49" s="40" t="s">
        <v>62</v>
      </c>
      <c r="E49" s="41" t="s">
        <v>34</v>
      </c>
      <c r="F49" s="69">
        <v>90</v>
      </c>
      <c r="G49" s="295">
        <v>2337</v>
      </c>
      <c r="H49" s="40" t="s">
        <v>63</v>
      </c>
      <c r="I49" s="100"/>
      <c r="L49" s="74"/>
    </row>
    <row r="50" spans="1:12" ht="30" customHeight="1">
      <c r="A50" s="37">
        <v>226</v>
      </c>
      <c r="B50" s="38" t="s">
        <v>514</v>
      </c>
      <c r="C50" s="40" t="s">
        <v>85</v>
      </c>
      <c r="D50" s="40" t="s">
        <v>62</v>
      </c>
      <c r="E50" s="41" t="s">
        <v>25</v>
      </c>
      <c r="F50" s="69">
        <v>10</v>
      </c>
      <c r="G50" s="295">
        <v>1440</v>
      </c>
      <c r="H50" s="40" t="s">
        <v>63</v>
      </c>
      <c r="I50" s="100"/>
      <c r="L50" s="74"/>
    </row>
    <row r="51" spans="1:12" ht="30" customHeight="1">
      <c r="A51" s="37">
        <v>227</v>
      </c>
      <c r="B51" s="344" t="s">
        <v>86</v>
      </c>
      <c r="C51" s="345" t="s">
        <v>87</v>
      </c>
      <c r="D51" s="40" t="s">
        <v>62</v>
      </c>
      <c r="E51" s="41" t="s">
        <v>34</v>
      </c>
      <c r="F51" s="69">
        <f>39+122</f>
        <v>161</v>
      </c>
      <c r="G51" s="295">
        <v>21582</v>
      </c>
      <c r="H51" s="40" t="s">
        <v>63</v>
      </c>
      <c r="I51" s="100"/>
      <c r="L51" s="74"/>
    </row>
    <row r="52" spans="1:12" ht="30" customHeight="1">
      <c r="A52" s="37">
        <v>228</v>
      </c>
      <c r="B52" s="38" t="s">
        <v>468</v>
      </c>
      <c r="C52" s="40" t="s">
        <v>85</v>
      </c>
      <c r="D52" s="40" t="s">
        <v>62</v>
      </c>
      <c r="E52" s="41" t="s">
        <v>25</v>
      </c>
      <c r="F52" s="69">
        <v>10</v>
      </c>
      <c r="G52" s="295">
        <v>1440</v>
      </c>
      <c r="H52" s="40" t="s">
        <v>63</v>
      </c>
      <c r="I52" s="100"/>
      <c r="L52" s="74"/>
    </row>
    <row r="53" spans="1:12" ht="30" customHeight="1">
      <c r="A53" s="37">
        <v>229</v>
      </c>
      <c r="B53" s="38" t="s">
        <v>88</v>
      </c>
      <c r="C53" s="40" t="s">
        <v>85</v>
      </c>
      <c r="D53" s="40" t="s">
        <v>62</v>
      </c>
      <c r="E53" s="41" t="s">
        <v>34</v>
      </c>
      <c r="F53" s="69">
        <v>35</v>
      </c>
      <c r="G53" s="295">
        <v>4315.5</v>
      </c>
      <c r="H53" s="40" t="s">
        <v>63</v>
      </c>
      <c r="I53" s="100"/>
      <c r="L53" s="74"/>
    </row>
    <row r="54" spans="1:12" ht="30" customHeight="1">
      <c r="A54" s="37">
        <v>230</v>
      </c>
      <c r="B54" s="38" t="s">
        <v>89</v>
      </c>
      <c r="C54" s="40" t="s">
        <v>90</v>
      </c>
      <c r="D54" s="40" t="s">
        <v>62</v>
      </c>
      <c r="E54" s="41" t="s">
        <v>34</v>
      </c>
      <c r="F54" s="69">
        <v>85</v>
      </c>
      <c r="G54" s="295">
        <v>4224.5</v>
      </c>
      <c r="H54" s="40" t="s">
        <v>63</v>
      </c>
      <c r="I54" s="100"/>
      <c r="L54" s="74"/>
    </row>
    <row r="55" spans="1:12" ht="30" customHeight="1">
      <c r="A55" s="37">
        <v>231</v>
      </c>
      <c r="B55" s="38" t="s">
        <v>91</v>
      </c>
      <c r="C55" s="40" t="s">
        <v>92</v>
      </c>
      <c r="D55" s="40" t="s">
        <v>62</v>
      </c>
      <c r="E55" s="41" t="s">
        <v>34</v>
      </c>
      <c r="F55" s="69">
        <v>80</v>
      </c>
      <c r="G55" s="295">
        <v>13376</v>
      </c>
      <c r="H55" s="40" t="s">
        <v>63</v>
      </c>
      <c r="I55" s="100"/>
      <c r="L55" s="74"/>
    </row>
    <row r="56" spans="1:12" ht="30" customHeight="1">
      <c r="A56" s="37">
        <v>232</v>
      </c>
      <c r="B56" s="38" t="s">
        <v>222</v>
      </c>
      <c r="C56" s="40" t="s">
        <v>223</v>
      </c>
      <c r="D56" s="40" t="s">
        <v>62</v>
      </c>
      <c r="E56" s="41" t="s">
        <v>34</v>
      </c>
      <c r="F56" s="69">
        <v>50</v>
      </c>
      <c r="G56" s="295">
        <v>976</v>
      </c>
      <c r="H56" s="40" t="s">
        <v>63</v>
      </c>
      <c r="I56" s="100"/>
      <c r="L56" s="74"/>
    </row>
    <row r="57" spans="1:12" ht="30" customHeight="1">
      <c r="A57" s="37">
        <v>233</v>
      </c>
      <c r="B57" s="38" t="s">
        <v>93</v>
      </c>
      <c r="C57" s="40" t="s">
        <v>94</v>
      </c>
      <c r="D57" s="40" t="s">
        <v>62</v>
      </c>
      <c r="E57" s="41" t="s">
        <v>34</v>
      </c>
      <c r="F57" s="69">
        <f>-1.9+45.98</f>
        <v>44.08</v>
      </c>
      <c r="G57" s="295">
        <v>6222.31</v>
      </c>
      <c r="H57" s="40" t="s">
        <v>63</v>
      </c>
      <c r="I57" s="100"/>
      <c r="L57" s="74"/>
    </row>
    <row r="58" spans="1:12" ht="30" customHeight="1">
      <c r="A58" s="37">
        <v>234</v>
      </c>
      <c r="B58" s="38" t="s">
        <v>224</v>
      </c>
      <c r="C58" s="40" t="s">
        <v>225</v>
      </c>
      <c r="D58" s="40" t="s">
        <v>62</v>
      </c>
      <c r="E58" s="41" t="s">
        <v>34</v>
      </c>
      <c r="F58" s="69">
        <v>10</v>
      </c>
      <c r="G58" s="295">
        <v>126.1</v>
      </c>
      <c r="H58" s="40" t="s">
        <v>63</v>
      </c>
      <c r="I58" s="100"/>
      <c r="L58" s="74"/>
    </row>
    <row r="59" spans="1:12" ht="30" customHeight="1">
      <c r="A59" s="37">
        <v>235</v>
      </c>
      <c r="B59" s="40" t="s">
        <v>226</v>
      </c>
      <c r="C59" s="40" t="s">
        <v>227</v>
      </c>
      <c r="D59" s="40" t="s">
        <v>62</v>
      </c>
      <c r="E59" s="41" t="s">
        <v>34</v>
      </c>
      <c r="F59" s="69">
        <v>10</v>
      </c>
      <c r="G59" s="295">
        <v>1387</v>
      </c>
      <c r="H59" s="40" t="s">
        <v>63</v>
      </c>
      <c r="I59" s="100"/>
      <c r="L59" s="74"/>
    </row>
    <row r="60" spans="1:12" ht="30" customHeight="1">
      <c r="A60" s="37">
        <v>236</v>
      </c>
      <c r="B60" s="40" t="s">
        <v>276</v>
      </c>
      <c r="C60" s="40" t="s">
        <v>277</v>
      </c>
      <c r="D60" s="40" t="s">
        <v>62</v>
      </c>
      <c r="E60" s="41" t="s">
        <v>34</v>
      </c>
      <c r="F60" s="69">
        <v>10</v>
      </c>
      <c r="G60" s="295">
        <v>1827</v>
      </c>
      <c r="H60" s="40" t="s">
        <v>63</v>
      </c>
      <c r="I60" s="100"/>
      <c r="L60" s="74"/>
    </row>
    <row r="61" spans="1:12" ht="30" customHeight="1">
      <c r="A61" s="37">
        <v>237</v>
      </c>
      <c r="B61" s="40" t="s">
        <v>95</v>
      </c>
      <c r="C61" s="40" t="s">
        <v>96</v>
      </c>
      <c r="D61" s="40" t="s">
        <v>62</v>
      </c>
      <c r="E61" s="41" t="s">
        <v>34</v>
      </c>
      <c r="F61" s="69">
        <v>210</v>
      </c>
      <c r="G61" s="295">
        <v>43922</v>
      </c>
      <c r="H61" s="40" t="s">
        <v>63</v>
      </c>
      <c r="I61" s="100"/>
      <c r="L61" s="74"/>
    </row>
    <row r="62" spans="1:12" ht="30" customHeight="1">
      <c r="A62" s="37">
        <v>238</v>
      </c>
      <c r="B62" s="40" t="s">
        <v>97</v>
      </c>
      <c r="C62" s="345" t="s">
        <v>87</v>
      </c>
      <c r="D62" s="40" t="s">
        <v>62</v>
      </c>
      <c r="E62" s="41" t="s">
        <v>34</v>
      </c>
      <c r="F62" s="69">
        <v>150</v>
      </c>
      <c r="G62" s="295">
        <v>33239.75</v>
      </c>
      <c r="H62" s="40" t="s">
        <v>63</v>
      </c>
      <c r="I62" s="100"/>
      <c r="L62" s="74"/>
    </row>
    <row r="63" spans="1:12" ht="45" customHeight="1">
      <c r="A63" s="37">
        <v>239</v>
      </c>
      <c r="B63" s="54" t="s">
        <v>98</v>
      </c>
      <c r="C63" s="40" t="s">
        <v>61</v>
      </c>
      <c r="D63" s="40" t="s">
        <v>62</v>
      </c>
      <c r="E63" s="41" t="s">
        <v>25</v>
      </c>
      <c r="F63" s="69">
        <v>950</v>
      </c>
      <c r="G63" s="295">
        <v>12025.9</v>
      </c>
      <c r="H63" s="40" t="s">
        <v>63</v>
      </c>
      <c r="I63" s="100"/>
      <c r="L63" s="74"/>
    </row>
    <row r="64" spans="1:12" ht="30" customHeight="1">
      <c r="A64" s="37">
        <v>240</v>
      </c>
      <c r="B64" s="40" t="s">
        <v>99</v>
      </c>
      <c r="C64" s="40" t="s">
        <v>100</v>
      </c>
      <c r="D64" s="40" t="s">
        <v>62</v>
      </c>
      <c r="E64" s="41" t="s">
        <v>34</v>
      </c>
      <c r="F64" s="69">
        <v>95.5</v>
      </c>
      <c r="G64" s="295">
        <v>29168.6</v>
      </c>
      <c r="H64" s="40" t="s">
        <v>63</v>
      </c>
      <c r="I64" s="100"/>
      <c r="L64" s="74"/>
    </row>
    <row r="65" spans="1:12" ht="30" customHeight="1">
      <c r="A65" s="37">
        <v>241</v>
      </c>
      <c r="B65" s="40" t="s">
        <v>228</v>
      </c>
      <c r="C65" s="40" t="s">
        <v>229</v>
      </c>
      <c r="D65" s="40" t="s">
        <v>62</v>
      </c>
      <c r="E65" s="41" t="s">
        <v>34</v>
      </c>
      <c r="F65" s="69">
        <v>100</v>
      </c>
      <c r="G65" s="295">
        <v>4348</v>
      </c>
      <c r="H65" s="40" t="s">
        <v>63</v>
      </c>
      <c r="I65" s="100"/>
      <c r="L65" s="74"/>
    </row>
    <row r="66" spans="1:12" ht="30" customHeight="1">
      <c r="A66" s="37">
        <v>242</v>
      </c>
      <c r="B66" s="40" t="s">
        <v>103</v>
      </c>
      <c r="C66" s="40" t="s">
        <v>104</v>
      </c>
      <c r="D66" s="40" t="s">
        <v>62</v>
      </c>
      <c r="E66" s="41" t="s">
        <v>25</v>
      </c>
      <c r="F66" s="69">
        <v>2300</v>
      </c>
      <c r="G66" s="295">
        <v>10672</v>
      </c>
      <c r="H66" s="40" t="s">
        <v>63</v>
      </c>
      <c r="I66" s="100"/>
      <c r="L66" s="74"/>
    </row>
    <row r="67" spans="1:12" ht="30" customHeight="1">
      <c r="A67" s="37">
        <v>243</v>
      </c>
      <c r="B67" s="40" t="s">
        <v>230</v>
      </c>
      <c r="C67" s="40" t="s">
        <v>231</v>
      </c>
      <c r="D67" s="40" t="s">
        <v>62</v>
      </c>
      <c r="E67" s="41" t="s">
        <v>77</v>
      </c>
      <c r="F67" s="69">
        <v>60</v>
      </c>
      <c r="G67" s="295">
        <v>3516</v>
      </c>
      <c r="H67" s="40" t="s">
        <v>63</v>
      </c>
      <c r="I67" s="100"/>
      <c r="L67" s="74"/>
    </row>
    <row r="68" spans="1:12" ht="30" customHeight="1">
      <c r="A68" s="37">
        <v>244</v>
      </c>
      <c r="B68" s="38" t="s">
        <v>220</v>
      </c>
      <c r="C68" s="40" t="s">
        <v>221</v>
      </c>
      <c r="D68" s="40" t="s">
        <v>62</v>
      </c>
      <c r="E68" s="41" t="s">
        <v>34</v>
      </c>
      <c r="F68" s="69">
        <v>35</v>
      </c>
      <c r="G68" s="295">
        <v>469</v>
      </c>
      <c r="H68" s="40" t="s">
        <v>63</v>
      </c>
      <c r="I68" s="100"/>
      <c r="L68" s="74"/>
    </row>
    <row r="69" spans="1:12" ht="30" customHeight="1">
      <c r="A69" s="37">
        <v>245</v>
      </c>
      <c r="B69" s="38" t="s">
        <v>105</v>
      </c>
      <c r="C69" s="40" t="s">
        <v>70</v>
      </c>
      <c r="D69" s="40" t="s">
        <v>62</v>
      </c>
      <c r="E69" s="41" t="s">
        <v>34</v>
      </c>
      <c r="F69" s="69">
        <v>75</v>
      </c>
      <c r="G69" s="295">
        <v>2542.5</v>
      </c>
      <c r="H69" s="40" t="s">
        <v>63</v>
      </c>
      <c r="I69" s="100"/>
      <c r="L69" s="74"/>
    </row>
    <row r="70" spans="1:12" ht="30" customHeight="1">
      <c r="A70" s="37">
        <v>246</v>
      </c>
      <c r="B70" s="38" t="s">
        <v>268</v>
      </c>
      <c r="C70" s="40" t="s">
        <v>70</v>
      </c>
      <c r="D70" s="40" t="s">
        <v>62</v>
      </c>
      <c r="E70" s="41" t="s">
        <v>34</v>
      </c>
      <c r="F70" s="69">
        <v>10</v>
      </c>
      <c r="G70" s="295">
        <v>204.9</v>
      </c>
      <c r="H70" s="40" t="s">
        <v>63</v>
      </c>
      <c r="I70" s="100"/>
      <c r="L70" s="74"/>
    </row>
    <row r="71" spans="1:12" s="10" customFormat="1" ht="30" customHeight="1">
      <c r="A71" s="296"/>
      <c r="B71" s="260" t="s">
        <v>106</v>
      </c>
      <c r="C71" s="261"/>
      <c r="D71" s="262"/>
      <c r="E71" s="263"/>
      <c r="F71" s="313"/>
      <c r="G71" s="297">
        <f>SUM(G41:G70)</f>
        <v>232000</v>
      </c>
      <c r="H71" s="262"/>
      <c r="I71" s="100"/>
      <c r="L71" s="267"/>
    </row>
    <row r="72" spans="1:12" ht="30" customHeight="1">
      <c r="A72" s="37">
        <v>247</v>
      </c>
      <c r="B72" s="38" t="s">
        <v>235</v>
      </c>
      <c r="C72" s="40" t="s">
        <v>116</v>
      </c>
      <c r="D72" s="40" t="s">
        <v>109</v>
      </c>
      <c r="E72" s="41" t="s">
        <v>113</v>
      </c>
      <c r="F72" s="50" t="s">
        <v>117</v>
      </c>
      <c r="G72" s="295">
        <v>492</v>
      </c>
      <c r="H72" s="40" t="s">
        <v>63</v>
      </c>
      <c r="I72" s="100"/>
      <c r="K72" s="12">
        <f>154</f>
        <v>154</v>
      </c>
      <c r="L72" s="74">
        <f aca="true" t="shared" si="0" ref="L72:L81">G72-K72</f>
        <v>338</v>
      </c>
    </row>
    <row r="73" spans="1:12" ht="30" customHeight="1">
      <c r="A73" s="37">
        <v>248</v>
      </c>
      <c r="B73" s="38" t="s">
        <v>433</v>
      </c>
      <c r="C73" s="40" t="s">
        <v>234</v>
      </c>
      <c r="D73" s="40" t="s">
        <v>109</v>
      </c>
      <c r="E73" s="41" t="s">
        <v>113</v>
      </c>
      <c r="F73" s="41" t="s">
        <v>117</v>
      </c>
      <c r="G73" s="295">
        <v>1050</v>
      </c>
      <c r="H73" s="40" t="s">
        <v>63</v>
      </c>
      <c r="I73" s="100"/>
      <c r="K73" s="12">
        <f>350</f>
        <v>350</v>
      </c>
      <c r="L73" s="74">
        <f t="shared" si="0"/>
        <v>700</v>
      </c>
    </row>
    <row r="74" spans="1:12" ht="30" customHeight="1">
      <c r="A74" s="37">
        <v>249</v>
      </c>
      <c r="B74" s="98" t="s">
        <v>515</v>
      </c>
      <c r="C74" s="99" t="s">
        <v>112</v>
      </c>
      <c r="D74" s="99" t="s">
        <v>109</v>
      </c>
      <c r="E74" s="162" t="s">
        <v>113</v>
      </c>
      <c r="F74" s="50" t="s">
        <v>516</v>
      </c>
      <c r="G74" s="295">
        <v>7200</v>
      </c>
      <c r="H74" s="40" t="s">
        <v>63</v>
      </c>
      <c r="I74" s="100"/>
      <c r="K74" s="12">
        <v>1500</v>
      </c>
      <c r="L74" s="74">
        <f t="shared" si="0"/>
        <v>5700</v>
      </c>
    </row>
    <row r="75" spans="1:12" ht="30" customHeight="1">
      <c r="A75" s="37">
        <v>250</v>
      </c>
      <c r="B75" s="38" t="s">
        <v>130</v>
      </c>
      <c r="C75" s="40" t="s">
        <v>131</v>
      </c>
      <c r="D75" s="40" t="s">
        <v>109</v>
      </c>
      <c r="E75" s="41" t="s">
        <v>25</v>
      </c>
      <c r="F75" s="50">
        <v>4</v>
      </c>
      <c r="G75" s="295">
        <v>1060</v>
      </c>
      <c r="H75" s="40" t="s">
        <v>19</v>
      </c>
      <c r="I75" s="100"/>
      <c r="L75" s="74">
        <f t="shared" si="0"/>
        <v>1060</v>
      </c>
    </row>
    <row r="76" spans="1:12" ht="30" customHeight="1">
      <c r="A76" s="37">
        <v>251</v>
      </c>
      <c r="B76" s="38" t="s">
        <v>130</v>
      </c>
      <c r="C76" s="40" t="s">
        <v>131</v>
      </c>
      <c r="D76" s="40" t="s">
        <v>109</v>
      </c>
      <c r="E76" s="41" t="s">
        <v>25</v>
      </c>
      <c r="F76" s="50">
        <v>5</v>
      </c>
      <c r="G76" s="295">
        <v>1325</v>
      </c>
      <c r="H76" s="40" t="s">
        <v>132</v>
      </c>
      <c r="I76" s="100"/>
      <c r="L76" s="74">
        <f t="shared" si="0"/>
        <v>1325</v>
      </c>
    </row>
    <row r="77" spans="1:12" ht="30" customHeight="1">
      <c r="A77" s="37">
        <v>252</v>
      </c>
      <c r="B77" s="98" t="s">
        <v>318</v>
      </c>
      <c r="C77" s="99" t="s">
        <v>108</v>
      </c>
      <c r="D77" s="99" t="s">
        <v>109</v>
      </c>
      <c r="E77" s="162" t="s">
        <v>110</v>
      </c>
      <c r="F77" s="50">
        <v>12</v>
      </c>
      <c r="G77" s="295">
        <v>1132.8</v>
      </c>
      <c r="H77" s="40" t="s">
        <v>63</v>
      </c>
      <c r="I77" s="100"/>
      <c r="K77" s="12">
        <v>283.2</v>
      </c>
      <c r="L77" s="74">
        <f t="shared" si="0"/>
        <v>849.5999999999999</v>
      </c>
    </row>
    <row r="78" spans="1:12" ht="45" customHeight="1">
      <c r="A78" s="37">
        <v>253</v>
      </c>
      <c r="B78" s="38" t="s">
        <v>236</v>
      </c>
      <c r="C78" s="40" t="s">
        <v>119</v>
      </c>
      <c r="D78" s="40" t="s">
        <v>109</v>
      </c>
      <c r="E78" s="41" t="s">
        <v>120</v>
      </c>
      <c r="F78" s="41" t="s">
        <v>121</v>
      </c>
      <c r="G78" s="295">
        <v>8913.74</v>
      </c>
      <c r="H78" s="40" t="s">
        <v>63</v>
      </c>
      <c r="I78" s="100"/>
      <c r="K78" s="12">
        <f>2679.34</f>
        <v>2679.34</v>
      </c>
      <c r="L78" s="74">
        <f t="shared" si="0"/>
        <v>6234.4</v>
      </c>
    </row>
    <row r="79" spans="1:12" ht="30" customHeight="1">
      <c r="A79" s="37">
        <v>254</v>
      </c>
      <c r="B79" s="98" t="s">
        <v>296</v>
      </c>
      <c r="C79" s="99" t="s">
        <v>326</v>
      </c>
      <c r="D79" s="40" t="s">
        <v>109</v>
      </c>
      <c r="E79" s="41" t="s">
        <v>113</v>
      </c>
      <c r="F79" s="41" t="s">
        <v>117</v>
      </c>
      <c r="G79" s="295">
        <v>1413</v>
      </c>
      <c r="H79" s="40" t="s">
        <v>63</v>
      </c>
      <c r="I79" s="100"/>
      <c r="K79" s="12">
        <f>470.96</f>
        <v>470.96</v>
      </c>
      <c r="L79" s="74">
        <f t="shared" si="0"/>
        <v>942.04</v>
      </c>
    </row>
    <row r="80" spans="1:12" ht="30" customHeight="1">
      <c r="A80" s="37">
        <v>255</v>
      </c>
      <c r="B80" s="98" t="s">
        <v>484</v>
      </c>
      <c r="C80" s="99" t="s">
        <v>242</v>
      </c>
      <c r="D80" s="40" t="s">
        <v>109</v>
      </c>
      <c r="E80" s="40" t="s">
        <v>113</v>
      </c>
      <c r="F80" s="41">
        <v>1</v>
      </c>
      <c r="G80" s="295">
        <v>25860</v>
      </c>
      <c r="H80" s="40" t="s">
        <v>63</v>
      </c>
      <c r="I80" s="100"/>
      <c r="L80" s="74"/>
    </row>
    <row r="81" spans="1:12" ht="30" customHeight="1">
      <c r="A81" s="37">
        <v>256</v>
      </c>
      <c r="B81" s="38" t="s">
        <v>286</v>
      </c>
      <c r="C81" s="40" t="s">
        <v>239</v>
      </c>
      <c r="D81" s="40" t="s">
        <v>109</v>
      </c>
      <c r="E81" s="41" t="s">
        <v>285</v>
      </c>
      <c r="F81" s="41">
        <v>589.6</v>
      </c>
      <c r="G81" s="295">
        <v>1745.22</v>
      </c>
      <c r="H81" s="40" t="s">
        <v>19</v>
      </c>
      <c r="I81" s="100"/>
      <c r="L81" s="74">
        <f t="shared" si="0"/>
        <v>1745.22</v>
      </c>
    </row>
    <row r="82" spans="1:12" ht="30" customHeight="1">
      <c r="A82" s="37">
        <v>257</v>
      </c>
      <c r="B82" s="38" t="s">
        <v>127</v>
      </c>
      <c r="C82" s="40" t="s">
        <v>239</v>
      </c>
      <c r="D82" s="40" t="s">
        <v>109</v>
      </c>
      <c r="E82" s="41" t="s">
        <v>285</v>
      </c>
      <c r="F82" s="41">
        <v>1028</v>
      </c>
      <c r="G82" s="295">
        <v>2652.24</v>
      </c>
      <c r="H82" s="40" t="s">
        <v>19</v>
      </c>
      <c r="I82" s="100"/>
      <c r="L82" s="74"/>
    </row>
    <row r="83" spans="1:12" s="10" customFormat="1" ht="30" customHeight="1">
      <c r="A83" s="296"/>
      <c r="B83" s="260" t="s">
        <v>136</v>
      </c>
      <c r="C83" s="261"/>
      <c r="D83" s="262"/>
      <c r="E83" s="263"/>
      <c r="F83" s="263"/>
      <c r="G83" s="297">
        <f>SUM(G72:G82)</f>
        <v>52844</v>
      </c>
      <c r="H83" s="265"/>
      <c r="I83" s="100"/>
      <c r="K83" s="267">
        <f>SUM(K72:K82)</f>
        <v>5437.5</v>
      </c>
      <c r="L83" s="267">
        <f>SUM(L9:L82)</f>
        <v>161359.5</v>
      </c>
    </row>
    <row r="84" spans="1:12" ht="30" customHeight="1">
      <c r="A84" s="37">
        <v>258</v>
      </c>
      <c r="B84" s="38" t="s">
        <v>137</v>
      </c>
      <c r="C84" s="52" t="s">
        <v>138</v>
      </c>
      <c r="D84" s="40" t="s">
        <v>139</v>
      </c>
      <c r="E84" s="41" t="s">
        <v>140</v>
      </c>
      <c r="F84" s="53">
        <f>G84/2878.55</f>
        <v>129.1518299143666</v>
      </c>
      <c r="G84" s="295">
        <v>371770</v>
      </c>
      <c r="H84" s="40" t="s">
        <v>63</v>
      </c>
      <c r="I84" s="100"/>
      <c r="K84" s="74">
        <f>226780.04</f>
        <v>226780.04</v>
      </c>
      <c r="L84" s="74"/>
    </row>
    <row r="85" spans="1:12" s="10" customFormat="1" ht="30" customHeight="1">
      <c r="A85" s="296"/>
      <c r="B85" s="260" t="s">
        <v>141</v>
      </c>
      <c r="C85" s="261"/>
      <c r="D85" s="262"/>
      <c r="E85" s="263"/>
      <c r="F85" s="263"/>
      <c r="G85" s="297">
        <f>SUM(G84:G84)</f>
        <v>371770</v>
      </c>
      <c r="H85" s="265"/>
      <c r="I85" s="100"/>
      <c r="K85" s="267"/>
      <c r="L85" s="267"/>
    </row>
    <row r="86" spans="1:9" ht="30" customHeight="1">
      <c r="A86" s="37">
        <v>259</v>
      </c>
      <c r="B86" s="38" t="s">
        <v>485</v>
      </c>
      <c r="C86" s="54" t="s">
        <v>245</v>
      </c>
      <c r="D86" s="40" t="s">
        <v>246</v>
      </c>
      <c r="E86" s="41" t="s">
        <v>110</v>
      </c>
      <c r="F86" s="53">
        <v>310.73</v>
      </c>
      <c r="G86" s="295">
        <v>3952.46</v>
      </c>
      <c r="H86" s="40" t="s">
        <v>63</v>
      </c>
      <c r="I86" s="100"/>
    </row>
    <row r="87" spans="1:9" ht="30" customHeight="1">
      <c r="A87" s="37">
        <v>260</v>
      </c>
      <c r="B87" s="38" t="s">
        <v>517</v>
      </c>
      <c r="C87" s="55" t="s">
        <v>518</v>
      </c>
      <c r="D87" s="40" t="s">
        <v>246</v>
      </c>
      <c r="E87" s="41" t="s">
        <v>110</v>
      </c>
      <c r="F87" s="53">
        <v>310.73</v>
      </c>
      <c r="G87" s="295">
        <v>4244.54</v>
      </c>
      <c r="H87" s="40" t="s">
        <v>63</v>
      </c>
      <c r="I87" s="100"/>
    </row>
    <row r="88" spans="1:9" s="10" customFormat="1" ht="30" customHeight="1">
      <c r="A88" s="296"/>
      <c r="B88" s="260" t="s">
        <v>247</v>
      </c>
      <c r="C88" s="261"/>
      <c r="D88" s="262"/>
      <c r="E88" s="263"/>
      <c r="F88" s="263"/>
      <c r="G88" s="297">
        <f>SUM(G86:G87)</f>
        <v>8197</v>
      </c>
      <c r="H88" s="265"/>
      <c r="I88" s="100"/>
    </row>
    <row r="89" spans="1:11" ht="30" customHeight="1">
      <c r="A89" s="37">
        <v>261</v>
      </c>
      <c r="B89" s="38" t="s">
        <v>142</v>
      </c>
      <c r="C89" s="54" t="s">
        <v>143</v>
      </c>
      <c r="D89" s="40" t="s">
        <v>144</v>
      </c>
      <c r="E89" s="41" t="s">
        <v>145</v>
      </c>
      <c r="F89" s="56">
        <f>G89/4.14243</f>
        <v>13673.375289383284</v>
      </c>
      <c r="G89" s="295">
        <v>56641</v>
      </c>
      <c r="H89" s="40" t="s">
        <v>63</v>
      </c>
      <c r="I89" s="100"/>
      <c r="K89" s="74">
        <f>16723.1+1365.83</f>
        <v>18088.93</v>
      </c>
    </row>
    <row r="90" spans="1:9" s="10" customFormat="1" ht="30" customHeight="1">
      <c r="A90" s="296"/>
      <c r="B90" s="260" t="s">
        <v>146</v>
      </c>
      <c r="C90" s="261"/>
      <c r="D90" s="262"/>
      <c r="E90" s="262"/>
      <c r="F90" s="262"/>
      <c r="G90" s="297">
        <f>G89</f>
        <v>56641</v>
      </c>
      <c r="H90" s="265"/>
      <c r="I90" s="100"/>
    </row>
    <row r="91" spans="1:10" ht="22.5" customHeight="1">
      <c r="A91" s="19"/>
      <c r="B91" s="103" t="s">
        <v>151</v>
      </c>
      <c r="C91" s="103"/>
      <c r="D91" s="103"/>
      <c r="E91" s="103"/>
      <c r="F91" s="103"/>
      <c r="G91" s="103"/>
      <c r="H91" s="103"/>
      <c r="I91" s="103"/>
      <c r="J91" s="103"/>
    </row>
    <row r="92" spans="1:10" ht="22.5" customHeight="1">
      <c r="A92" s="19"/>
      <c r="B92" s="106" t="s">
        <v>152</v>
      </c>
      <c r="C92" s="107"/>
      <c r="D92" s="108" t="s">
        <v>153</v>
      </c>
      <c r="E92" s="109"/>
      <c r="F92" s="109"/>
      <c r="G92" s="314"/>
      <c r="H92" s="183"/>
      <c r="I92" s="70"/>
      <c r="J92" s="9"/>
    </row>
    <row r="93" spans="1:10" ht="22.5" customHeight="1">
      <c r="A93" s="19"/>
      <c r="B93" s="111"/>
      <c r="C93" s="9"/>
      <c r="D93" s="112" t="s">
        <v>154</v>
      </c>
      <c r="E93" s="113" t="s">
        <v>155</v>
      </c>
      <c r="F93" s="114"/>
      <c r="G93" s="314"/>
      <c r="H93" s="183"/>
      <c r="I93" s="70"/>
      <c r="J93" s="9"/>
    </row>
    <row r="94" spans="1:10" ht="22.5" customHeight="1">
      <c r="A94" s="19"/>
      <c r="B94" s="115" t="s">
        <v>156</v>
      </c>
      <c r="C94" s="116"/>
      <c r="D94" s="108" t="s">
        <v>157</v>
      </c>
      <c r="E94" s="109"/>
      <c r="F94" s="109"/>
      <c r="G94" s="314"/>
      <c r="H94" s="183"/>
      <c r="I94" s="70"/>
      <c r="J94" s="9"/>
    </row>
    <row r="95" spans="1:9" ht="22.5" customHeight="1">
      <c r="A95" s="19"/>
      <c r="B95" s="111"/>
      <c r="C95" s="9"/>
      <c r="D95" s="112" t="s">
        <v>154</v>
      </c>
      <c r="E95" s="113"/>
      <c r="F95" s="114"/>
      <c r="G95" s="304"/>
      <c r="H95" s="8"/>
      <c r="I95" s="141"/>
    </row>
    <row r="96" spans="1:10" ht="22.5" customHeight="1">
      <c r="A96" s="19"/>
      <c r="B96" s="115" t="s">
        <v>158</v>
      </c>
      <c r="C96" s="9"/>
      <c r="D96" s="9"/>
      <c r="E96" s="9"/>
      <c r="F96" s="9"/>
      <c r="G96" s="314"/>
      <c r="H96" s="183"/>
      <c r="I96" s="70"/>
      <c r="J96" s="9"/>
    </row>
    <row r="97" spans="1:10" s="2" customFormat="1" ht="30" customHeight="1">
      <c r="A97" s="169"/>
      <c r="B97" s="315" t="s">
        <v>159</v>
      </c>
      <c r="C97" s="116"/>
      <c r="D97" s="306" t="s">
        <v>160</v>
      </c>
      <c r="E97" s="306"/>
      <c r="F97" s="306"/>
      <c r="G97" s="316"/>
      <c r="H97" s="183"/>
      <c r="I97" s="318"/>
      <c r="J97" s="116"/>
    </row>
    <row r="98" spans="1:10" ht="22.5" customHeight="1">
      <c r="A98" s="19"/>
      <c r="B98" s="119" t="s">
        <v>486</v>
      </c>
      <c r="C98" s="119"/>
      <c r="D98" s="119"/>
      <c r="E98" s="9"/>
      <c r="F98" s="9"/>
      <c r="G98" s="314"/>
      <c r="H98" s="183"/>
      <c r="I98" s="70"/>
      <c r="J98" s="9"/>
    </row>
  </sheetData>
  <sheetProtection/>
  <mergeCells count="18">
    <mergeCell ref="F1:G1"/>
    <mergeCell ref="A2:I2"/>
    <mergeCell ref="B40:C40"/>
    <mergeCell ref="B71:C71"/>
    <mergeCell ref="B83:C83"/>
    <mergeCell ref="B85:C85"/>
    <mergeCell ref="B88:C88"/>
    <mergeCell ref="B90:C90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90"/>
  </mergeCells>
  <hyperlinks>
    <hyperlink ref="C35" r:id="rId1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3"/>
  <sheetViews>
    <sheetView view="pageBreakPreview" zoomScale="90" zoomScaleNormal="90" zoomScaleSheetLayoutView="90" workbookViewId="0" topLeftCell="A31">
      <selection activeCell="B46" sqref="B46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24" t="s">
        <v>519</v>
      </c>
      <c r="B2" s="24"/>
      <c r="C2" s="24"/>
      <c r="D2" s="24"/>
      <c r="E2" s="24"/>
      <c r="F2" s="24"/>
      <c r="G2" s="24"/>
      <c r="H2" s="24"/>
      <c r="I2" s="24"/>
    </row>
    <row r="3" spans="3:9" ht="15" customHeight="1">
      <c r="C3" s="124"/>
      <c r="D3" s="125" t="s">
        <v>4</v>
      </c>
      <c r="E3" s="124"/>
      <c r="F3" s="124"/>
      <c r="G3" s="3"/>
      <c r="H3" s="16"/>
      <c r="I3" s="16"/>
    </row>
    <row r="4" ht="15" customHeight="1"/>
    <row r="5" spans="1:11" ht="15.75" customHeight="1">
      <c r="A5" s="26" t="s">
        <v>5</v>
      </c>
      <c r="B5" s="27" t="s">
        <v>6</v>
      </c>
      <c r="C5" s="28" t="s">
        <v>7</v>
      </c>
      <c r="D5" s="28" t="s">
        <v>249</v>
      </c>
      <c r="E5" s="28" t="s">
        <v>9</v>
      </c>
      <c r="F5" s="28" t="s">
        <v>10</v>
      </c>
      <c r="G5" s="28" t="s">
        <v>250</v>
      </c>
      <c r="H5" s="28" t="s">
        <v>251</v>
      </c>
      <c r="I5" s="28" t="s">
        <v>13</v>
      </c>
      <c r="J5" s="71"/>
      <c r="K5" s="71"/>
    </row>
    <row r="6" spans="1:9" ht="31.5" customHeight="1">
      <c r="A6" s="29"/>
      <c r="B6" s="30"/>
      <c r="C6" s="31"/>
      <c r="D6" s="31"/>
      <c r="E6" s="31"/>
      <c r="F6" s="31"/>
      <c r="G6" s="31"/>
      <c r="H6" s="31"/>
      <c r="I6" s="31"/>
    </row>
    <row r="7" spans="1:9" ht="37.5" customHeight="1">
      <c r="A7" s="32"/>
      <c r="B7" s="33"/>
      <c r="C7" s="34"/>
      <c r="D7" s="34"/>
      <c r="E7" s="34"/>
      <c r="F7" s="34"/>
      <c r="G7" s="34"/>
      <c r="H7" s="34"/>
      <c r="I7" s="34"/>
    </row>
    <row r="8" spans="1:15" ht="20.25" customHeight="1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72">
        <v>9</v>
      </c>
      <c r="O8" s="12" t="s">
        <v>520</v>
      </c>
    </row>
    <row r="9" spans="1:12" s="5" customFormat="1" ht="60" customHeight="1">
      <c r="A9" s="37">
        <v>126</v>
      </c>
      <c r="B9" s="38" t="s">
        <v>521</v>
      </c>
      <c r="C9" s="133" t="s">
        <v>21</v>
      </c>
      <c r="D9" s="40" t="s">
        <v>17</v>
      </c>
      <c r="E9" s="41" t="s">
        <v>25</v>
      </c>
      <c r="F9" s="41">
        <v>5</v>
      </c>
      <c r="G9" s="42">
        <v>1846.8</v>
      </c>
      <c r="H9" s="40" t="s">
        <v>19</v>
      </c>
      <c r="I9" s="73" t="s">
        <v>253</v>
      </c>
      <c r="L9" s="165"/>
    </row>
    <row r="10" spans="1:13" ht="30" customHeight="1">
      <c r="A10" s="37">
        <v>127</v>
      </c>
      <c r="B10" s="38" t="s">
        <v>15</v>
      </c>
      <c r="C10" s="40" t="s">
        <v>16</v>
      </c>
      <c r="D10" s="40" t="s">
        <v>17</v>
      </c>
      <c r="E10" s="41" t="s">
        <v>18</v>
      </c>
      <c r="F10" s="41">
        <v>13</v>
      </c>
      <c r="G10" s="295">
        <v>2730</v>
      </c>
      <c r="H10" s="40" t="s">
        <v>19</v>
      </c>
      <c r="I10" s="100"/>
      <c r="L10" s="74">
        <f>F10-J10</f>
        <v>13</v>
      </c>
      <c r="M10" s="74">
        <f>G10-K10</f>
        <v>2730</v>
      </c>
    </row>
    <row r="11" spans="1:12" ht="30" customHeight="1">
      <c r="A11" s="37">
        <v>128</v>
      </c>
      <c r="B11" s="94" t="s">
        <v>522</v>
      </c>
      <c r="C11" s="151" t="s">
        <v>171</v>
      </c>
      <c r="D11" s="40" t="s">
        <v>17</v>
      </c>
      <c r="E11" s="152" t="s">
        <v>523</v>
      </c>
      <c r="F11" s="41">
        <v>3</v>
      </c>
      <c r="G11" s="295">
        <v>192</v>
      </c>
      <c r="H11" s="40" t="s">
        <v>19</v>
      </c>
      <c r="I11" s="100"/>
      <c r="L11" s="74"/>
    </row>
    <row r="12" spans="1:12" ht="30" customHeight="1">
      <c r="A12" s="37">
        <v>129</v>
      </c>
      <c r="B12" s="94" t="s">
        <v>23</v>
      </c>
      <c r="C12" s="151" t="s">
        <v>24</v>
      </c>
      <c r="D12" s="40" t="s">
        <v>17</v>
      </c>
      <c r="E12" s="152" t="s">
        <v>25</v>
      </c>
      <c r="F12" s="41">
        <v>3</v>
      </c>
      <c r="G12" s="295">
        <v>523.17</v>
      </c>
      <c r="H12" s="40" t="s">
        <v>19</v>
      </c>
      <c r="I12" s="100"/>
      <c r="L12" s="74"/>
    </row>
    <row r="13" spans="1:12" ht="30" customHeight="1">
      <c r="A13" s="37">
        <v>130</v>
      </c>
      <c r="B13" s="94" t="s">
        <v>524</v>
      </c>
      <c r="C13" s="153" t="s">
        <v>27</v>
      </c>
      <c r="D13" s="40" t="s">
        <v>17</v>
      </c>
      <c r="E13" s="152" t="s">
        <v>25</v>
      </c>
      <c r="F13" s="41">
        <v>18</v>
      </c>
      <c r="G13" s="295">
        <v>1068.3</v>
      </c>
      <c r="H13" s="40" t="s">
        <v>19</v>
      </c>
      <c r="I13" s="100"/>
      <c r="L13" s="74"/>
    </row>
    <row r="14" spans="1:12" ht="45" customHeight="1">
      <c r="A14" s="37">
        <v>131</v>
      </c>
      <c r="B14" s="94" t="s">
        <v>525</v>
      </c>
      <c r="C14" s="151" t="s">
        <v>27</v>
      </c>
      <c r="D14" s="40" t="s">
        <v>17</v>
      </c>
      <c r="E14" s="152" t="s">
        <v>22</v>
      </c>
      <c r="F14" s="41">
        <v>15</v>
      </c>
      <c r="G14" s="295">
        <v>2645.7</v>
      </c>
      <c r="H14" s="40" t="s">
        <v>19</v>
      </c>
      <c r="I14" s="100"/>
      <c r="L14" s="74"/>
    </row>
    <row r="15" spans="1:12" ht="29.25" customHeight="1">
      <c r="A15" s="37">
        <v>132</v>
      </c>
      <c r="B15" s="94" t="s">
        <v>526</v>
      </c>
      <c r="C15" s="43" t="s">
        <v>16</v>
      </c>
      <c r="D15" s="40" t="s">
        <v>17</v>
      </c>
      <c r="E15" s="41" t="s">
        <v>25</v>
      </c>
      <c r="F15" s="41">
        <v>51</v>
      </c>
      <c r="G15" s="295">
        <v>1031.73</v>
      </c>
      <c r="H15" s="40" t="s">
        <v>19</v>
      </c>
      <c r="I15" s="100"/>
      <c r="L15" s="74"/>
    </row>
    <row r="16" spans="1:12" ht="45" customHeight="1">
      <c r="A16" s="37">
        <v>133</v>
      </c>
      <c r="B16" s="94" t="s">
        <v>51</v>
      </c>
      <c r="C16" s="43" t="s">
        <v>52</v>
      </c>
      <c r="D16" s="40" t="s">
        <v>17</v>
      </c>
      <c r="E16" s="41" t="s">
        <v>25</v>
      </c>
      <c r="F16" s="41">
        <v>60</v>
      </c>
      <c r="G16" s="295">
        <v>1194.6</v>
      </c>
      <c r="H16" s="40" t="s">
        <v>19</v>
      </c>
      <c r="I16" s="100"/>
      <c r="L16" s="74"/>
    </row>
    <row r="17" spans="1:12" ht="60" customHeight="1">
      <c r="A17" s="37">
        <v>134</v>
      </c>
      <c r="B17" s="154" t="s">
        <v>527</v>
      </c>
      <c r="C17" s="43" t="s">
        <v>387</v>
      </c>
      <c r="D17" s="40" t="s">
        <v>17</v>
      </c>
      <c r="E17" s="41" t="s">
        <v>25</v>
      </c>
      <c r="F17" s="41">
        <v>750</v>
      </c>
      <c r="G17" s="295">
        <v>17002.5</v>
      </c>
      <c r="H17" s="40" t="s">
        <v>19</v>
      </c>
      <c r="I17" s="100"/>
      <c r="L17" s="74"/>
    </row>
    <row r="18" spans="1:12" ht="45" customHeight="1">
      <c r="A18" s="37">
        <v>135</v>
      </c>
      <c r="B18" s="94" t="s">
        <v>466</v>
      </c>
      <c r="C18" s="43" t="s">
        <v>204</v>
      </c>
      <c r="D18" s="40" t="s">
        <v>17</v>
      </c>
      <c r="E18" s="41" t="s">
        <v>528</v>
      </c>
      <c r="F18" s="41">
        <v>31</v>
      </c>
      <c r="G18" s="295">
        <v>71415</v>
      </c>
      <c r="H18" s="40" t="s">
        <v>19</v>
      </c>
      <c r="I18" s="100"/>
      <c r="L18" s="74"/>
    </row>
    <row r="19" spans="1:12" ht="30" customHeight="1">
      <c r="A19" s="37">
        <v>136</v>
      </c>
      <c r="B19" s="38" t="s">
        <v>57</v>
      </c>
      <c r="C19" s="40" t="s">
        <v>58</v>
      </c>
      <c r="D19" s="40" t="s">
        <v>17</v>
      </c>
      <c r="E19" s="41" t="s">
        <v>25</v>
      </c>
      <c r="F19" s="41">
        <v>1</v>
      </c>
      <c r="G19" s="295">
        <v>2500.2</v>
      </c>
      <c r="H19" s="155" t="s">
        <v>19</v>
      </c>
      <c r="I19" s="100"/>
      <c r="L19" s="74"/>
    </row>
    <row r="20" spans="1:12" ht="29.25" customHeight="1">
      <c r="A20" s="37">
        <v>137</v>
      </c>
      <c r="B20" s="94" t="s">
        <v>335</v>
      </c>
      <c r="C20" s="43" t="s">
        <v>260</v>
      </c>
      <c r="D20" s="40" t="s">
        <v>17</v>
      </c>
      <c r="E20" s="41" t="s">
        <v>25</v>
      </c>
      <c r="F20" s="41">
        <v>2</v>
      </c>
      <c r="G20" s="295">
        <v>7000</v>
      </c>
      <c r="H20" s="40" t="s">
        <v>19</v>
      </c>
      <c r="I20" s="100"/>
      <c r="L20" s="74"/>
    </row>
    <row r="21" spans="1:14" s="10" customFormat="1" ht="30" customHeight="1">
      <c r="A21" s="296"/>
      <c r="B21" s="260" t="s">
        <v>59</v>
      </c>
      <c r="C21" s="261"/>
      <c r="D21" s="262"/>
      <c r="E21" s="263"/>
      <c r="F21" s="263"/>
      <c r="G21" s="297">
        <f>SUM(G9:G20)</f>
        <v>109150</v>
      </c>
      <c r="H21" s="310"/>
      <c r="I21" s="31"/>
      <c r="K21" s="267" t="e">
        <f>SUM(#REF!)</f>
        <v>#REF!</v>
      </c>
      <c r="L21" s="267"/>
      <c r="M21" s="10">
        <f>15609.86+2374.04</f>
        <v>17983.9</v>
      </c>
      <c r="N21" s="267"/>
    </row>
    <row r="22" spans="1:14" ht="30" customHeight="1">
      <c r="A22" s="37">
        <v>138</v>
      </c>
      <c r="B22" s="40" t="s">
        <v>269</v>
      </c>
      <c r="C22" s="40" t="s">
        <v>270</v>
      </c>
      <c r="D22" s="40" t="s">
        <v>62</v>
      </c>
      <c r="E22" s="41" t="s">
        <v>34</v>
      </c>
      <c r="F22" s="69">
        <v>2</v>
      </c>
      <c r="G22" s="295">
        <v>748.8</v>
      </c>
      <c r="H22" s="40" t="s">
        <v>63</v>
      </c>
      <c r="I22" s="31"/>
      <c r="K22" s="74"/>
      <c r="L22" s="74"/>
      <c r="N22" s="74"/>
    </row>
    <row r="23" spans="1:14" ht="30" customHeight="1">
      <c r="A23" s="37">
        <v>139</v>
      </c>
      <c r="B23" s="38" t="s">
        <v>216</v>
      </c>
      <c r="C23" s="40" t="s">
        <v>217</v>
      </c>
      <c r="D23" s="40" t="s">
        <v>62</v>
      </c>
      <c r="E23" s="41" t="s">
        <v>34</v>
      </c>
      <c r="F23" s="69">
        <v>150</v>
      </c>
      <c r="G23" s="295">
        <v>2745</v>
      </c>
      <c r="H23" s="40" t="s">
        <v>63</v>
      </c>
      <c r="I23" s="31"/>
      <c r="K23" s="74"/>
      <c r="L23" s="74"/>
      <c r="N23" s="74"/>
    </row>
    <row r="24" spans="1:14" ht="30" customHeight="1">
      <c r="A24" s="37">
        <v>140</v>
      </c>
      <c r="B24" s="38" t="s">
        <v>64</v>
      </c>
      <c r="C24" s="40" t="s">
        <v>65</v>
      </c>
      <c r="D24" s="40" t="s">
        <v>62</v>
      </c>
      <c r="E24" s="41" t="s">
        <v>34</v>
      </c>
      <c r="F24" s="69">
        <v>1400</v>
      </c>
      <c r="G24" s="295">
        <v>23520</v>
      </c>
      <c r="H24" s="40" t="s">
        <v>63</v>
      </c>
      <c r="I24" s="31"/>
      <c r="K24" s="74"/>
      <c r="L24" s="74"/>
      <c r="N24" s="74"/>
    </row>
    <row r="25" spans="1:14" ht="30" customHeight="1">
      <c r="A25" s="37">
        <v>141</v>
      </c>
      <c r="B25" s="38" t="s">
        <v>529</v>
      </c>
      <c r="C25" s="40" t="s">
        <v>530</v>
      </c>
      <c r="D25" s="40" t="s">
        <v>62</v>
      </c>
      <c r="E25" s="41" t="s">
        <v>34</v>
      </c>
      <c r="F25" s="69">
        <v>49</v>
      </c>
      <c r="G25" s="295">
        <v>886.9</v>
      </c>
      <c r="H25" s="40" t="s">
        <v>63</v>
      </c>
      <c r="I25" s="31"/>
      <c r="K25" s="74"/>
      <c r="L25" s="74"/>
      <c r="N25" s="74"/>
    </row>
    <row r="26" spans="1:14" ht="30" customHeight="1">
      <c r="A26" s="37">
        <v>142</v>
      </c>
      <c r="B26" s="38" t="s">
        <v>71</v>
      </c>
      <c r="C26" s="71" t="s">
        <v>72</v>
      </c>
      <c r="D26" s="40" t="s">
        <v>62</v>
      </c>
      <c r="E26" s="41" t="s">
        <v>34</v>
      </c>
      <c r="F26" s="69">
        <v>120</v>
      </c>
      <c r="G26" s="295">
        <v>1836</v>
      </c>
      <c r="H26" s="40" t="s">
        <v>63</v>
      </c>
      <c r="I26" s="31"/>
      <c r="K26" s="74"/>
      <c r="L26" s="74"/>
      <c r="N26" s="74"/>
    </row>
    <row r="27" spans="1:14" ht="45" customHeight="1">
      <c r="A27" s="37">
        <v>143</v>
      </c>
      <c r="B27" s="38" t="s">
        <v>73</v>
      </c>
      <c r="C27" s="40" t="s">
        <v>74</v>
      </c>
      <c r="D27" s="40" t="s">
        <v>62</v>
      </c>
      <c r="E27" s="41" t="s">
        <v>34</v>
      </c>
      <c r="F27" s="69">
        <v>120</v>
      </c>
      <c r="G27" s="295">
        <v>2760</v>
      </c>
      <c r="H27" s="40" t="s">
        <v>63</v>
      </c>
      <c r="I27" s="31"/>
      <c r="K27" s="74"/>
      <c r="L27" s="74"/>
      <c r="N27" s="74"/>
    </row>
    <row r="28" spans="1:14" ht="30" customHeight="1">
      <c r="A28" s="37">
        <v>144</v>
      </c>
      <c r="B28" s="38" t="s">
        <v>75</v>
      </c>
      <c r="C28" s="40" t="s">
        <v>76</v>
      </c>
      <c r="D28" s="40" t="s">
        <v>62</v>
      </c>
      <c r="E28" s="41" t="s">
        <v>77</v>
      </c>
      <c r="F28" s="69">
        <v>20</v>
      </c>
      <c r="G28" s="295">
        <v>1524</v>
      </c>
      <c r="H28" s="40" t="s">
        <v>63</v>
      </c>
      <c r="I28" s="31"/>
      <c r="K28" s="74"/>
      <c r="L28" s="74"/>
      <c r="N28" s="74"/>
    </row>
    <row r="29" spans="1:14" ht="30" customHeight="1">
      <c r="A29" s="37">
        <v>145</v>
      </c>
      <c r="B29" s="38" t="s">
        <v>78</v>
      </c>
      <c r="C29" s="40" t="s">
        <v>79</v>
      </c>
      <c r="D29" s="40" t="s">
        <v>62</v>
      </c>
      <c r="E29" s="41" t="s">
        <v>34</v>
      </c>
      <c r="F29" s="69">
        <v>50</v>
      </c>
      <c r="G29" s="295">
        <v>15395</v>
      </c>
      <c r="H29" s="40" t="s">
        <v>63</v>
      </c>
      <c r="I29" s="31"/>
      <c r="K29" s="74"/>
      <c r="L29" s="74"/>
      <c r="N29" s="74"/>
    </row>
    <row r="30" spans="1:14" ht="45" customHeight="1">
      <c r="A30" s="37">
        <v>146</v>
      </c>
      <c r="B30" s="38" t="s">
        <v>80</v>
      </c>
      <c r="C30" s="40" t="s">
        <v>81</v>
      </c>
      <c r="D30" s="40" t="s">
        <v>62</v>
      </c>
      <c r="E30" s="41" t="s">
        <v>82</v>
      </c>
      <c r="F30" s="69">
        <v>90</v>
      </c>
      <c r="G30" s="295">
        <v>3582</v>
      </c>
      <c r="H30" s="40" t="s">
        <v>63</v>
      </c>
      <c r="I30" s="31"/>
      <c r="K30" s="74"/>
      <c r="L30" s="74"/>
      <c r="N30" s="74"/>
    </row>
    <row r="31" spans="1:14" ht="30" customHeight="1">
      <c r="A31" s="37">
        <v>147</v>
      </c>
      <c r="B31" s="38" t="s">
        <v>83</v>
      </c>
      <c r="C31" s="40" t="s">
        <v>72</v>
      </c>
      <c r="D31" s="40" t="s">
        <v>62</v>
      </c>
      <c r="E31" s="41" t="s">
        <v>34</v>
      </c>
      <c r="F31" s="69">
        <v>100</v>
      </c>
      <c r="G31" s="295">
        <v>2270</v>
      </c>
      <c r="H31" s="40" t="s">
        <v>63</v>
      </c>
      <c r="I31" s="31"/>
      <c r="K31" s="74"/>
      <c r="L31" s="74"/>
      <c r="N31" s="74"/>
    </row>
    <row r="32" spans="1:14" ht="30" customHeight="1">
      <c r="A32" s="37">
        <v>148</v>
      </c>
      <c r="B32" s="38" t="s">
        <v>220</v>
      </c>
      <c r="C32" s="40" t="s">
        <v>221</v>
      </c>
      <c r="D32" s="40" t="s">
        <v>62</v>
      </c>
      <c r="E32" s="41" t="s">
        <v>34</v>
      </c>
      <c r="F32" s="69">
        <v>150</v>
      </c>
      <c r="G32" s="295">
        <v>1965</v>
      </c>
      <c r="H32" s="40" t="s">
        <v>63</v>
      </c>
      <c r="I32" s="31"/>
      <c r="K32" s="74"/>
      <c r="L32" s="74"/>
      <c r="N32" s="74"/>
    </row>
    <row r="33" spans="1:14" ht="45" customHeight="1">
      <c r="A33" s="37">
        <v>149</v>
      </c>
      <c r="B33" s="38" t="s">
        <v>84</v>
      </c>
      <c r="C33" s="40" t="s">
        <v>85</v>
      </c>
      <c r="D33" s="40" t="s">
        <v>62</v>
      </c>
      <c r="E33" s="41" t="s">
        <v>34</v>
      </c>
      <c r="F33" s="69">
        <v>20.15</v>
      </c>
      <c r="G33" s="295">
        <v>2381.73</v>
      </c>
      <c r="H33" s="40" t="s">
        <v>63</v>
      </c>
      <c r="I33" s="31"/>
      <c r="K33" s="74"/>
      <c r="L33" s="74"/>
      <c r="N33" s="74"/>
    </row>
    <row r="34" spans="1:14" ht="30" customHeight="1">
      <c r="A34" s="37">
        <v>150</v>
      </c>
      <c r="B34" s="344" t="s">
        <v>86</v>
      </c>
      <c r="C34" s="345" t="s">
        <v>87</v>
      </c>
      <c r="D34" s="40" t="s">
        <v>62</v>
      </c>
      <c r="E34" s="41" t="s">
        <v>34</v>
      </c>
      <c r="F34" s="69">
        <v>279</v>
      </c>
      <c r="G34" s="295">
        <v>35656.2</v>
      </c>
      <c r="H34" s="40" t="s">
        <v>63</v>
      </c>
      <c r="I34" s="31"/>
      <c r="K34" s="74"/>
      <c r="L34" s="74"/>
      <c r="N34" s="74"/>
    </row>
    <row r="35" spans="1:14" ht="30" customHeight="1">
      <c r="A35" s="37">
        <v>151</v>
      </c>
      <c r="B35" s="38" t="s">
        <v>88</v>
      </c>
      <c r="C35" s="40" t="s">
        <v>85</v>
      </c>
      <c r="D35" s="40" t="s">
        <v>62</v>
      </c>
      <c r="E35" s="41" t="s">
        <v>34</v>
      </c>
      <c r="F35" s="69">
        <v>35</v>
      </c>
      <c r="G35" s="295">
        <v>4361</v>
      </c>
      <c r="H35" s="40" t="s">
        <v>63</v>
      </c>
      <c r="I35" s="31"/>
      <c r="K35" s="74"/>
      <c r="L35" s="74"/>
      <c r="N35" s="74"/>
    </row>
    <row r="36" spans="1:14" ht="30" customHeight="1">
      <c r="A36" s="37">
        <v>152</v>
      </c>
      <c r="B36" s="38" t="s">
        <v>89</v>
      </c>
      <c r="C36" s="40" t="s">
        <v>90</v>
      </c>
      <c r="D36" s="40" t="s">
        <v>62</v>
      </c>
      <c r="E36" s="41" t="s">
        <v>34</v>
      </c>
      <c r="F36" s="69">
        <v>80</v>
      </c>
      <c r="G36" s="295">
        <v>3960</v>
      </c>
      <c r="H36" s="40" t="s">
        <v>63</v>
      </c>
      <c r="I36" s="31"/>
      <c r="K36" s="74"/>
      <c r="L36" s="74"/>
      <c r="N36" s="74"/>
    </row>
    <row r="37" spans="1:14" ht="30" customHeight="1">
      <c r="A37" s="37">
        <v>153</v>
      </c>
      <c r="B37" s="38" t="s">
        <v>91</v>
      </c>
      <c r="C37" s="40" t="s">
        <v>92</v>
      </c>
      <c r="D37" s="40" t="s">
        <v>62</v>
      </c>
      <c r="E37" s="41" t="s">
        <v>34</v>
      </c>
      <c r="F37" s="69">
        <v>150</v>
      </c>
      <c r="G37" s="295">
        <v>25080</v>
      </c>
      <c r="H37" s="40" t="s">
        <v>63</v>
      </c>
      <c r="I37" s="31"/>
      <c r="K37" s="74"/>
      <c r="L37" s="74"/>
      <c r="N37" s="74"/>
    </row>
    <row r="38" spans="1:14" ht="30" customHeight="1">
      <c r="A38" s="37">
        <v>154</v>
      </c>
      <c r="B38" s="38" t="s">
        <v>274</v>
      </c>
      <c r="C38" s="40" t="s">
        <v>275</v>
      </c>
      <c r="D38" s="40" t="s">
        <v>62</v>
      </c>
      <c r="E38" s="41" t="s">
        <v>34</v>
      </c>
      <c r="F38" s="69">
        <v>150</v>
      </c>
      <c r="G38" s="295">
        <v>5850</v>
      </c>
      <c r="H38" s="40" t="s">
        <v>63</v>
      </c>
      <c r="I38" s="31"/>
      <c r="K38" s="74"/>
      <c r="L38" s="74"/>
      <c r="N38" s="74"/>
    </row>
    <row r="39" spans="1:14" ht="30" customHeight="1">
      <c r="A39" s="37">
        <v>155</v>
      </c>
      <c r="B39" s="38" t="s">
        <v>222</v>
      </c>
      <c r="C39" s="40" t="s">
        <v>223</v>
      </c>
      <c r="D39" s="40" t="s">
        <v>62</v>
      </c>
      <c r="E39" s="41" t="s">
        <v>34</v>
      </c>
      <c r="F39" s="69">
        <v>100</v>
      </c>
      <c r="G39" s="295">
        <v>1920</v>
      </c>
      <c r="H39" s="40" t="s">
        <v>63</v>
      </c>
      <c r="I39" s="31"/>
      <c r="K39" s="74"/>
      <c r="L39" s="74"/>
      <c r="N39" s="74"/>
    </row>
    <row r="40" spans="1:14" ht="30" customHeight="1">
      <c r="A40" s="37">
        <v>156</v>
      </c>
      <c r="B40" s="38" t="s">
        <v>93</v>
      </c>
      <c r="C40" s="40" t="s">
        <v>94</v>
      </c>
      <c r="D40" s="40" t="s">
        <v>62</v>
      </c>
      <c r="E40" s="41" t="s">
        <v>34</v>
      </c>
      <c r="F40" s="69">
        <v>47.88</v>
      </c>
      <c r="G40" s="295">
        <v>6224.4</v>
      </c>
      <c r="H40" s="40" t="s">
        <v>63</v>
      </c>
      <c r="I40" s="31"/>
      <c r="K40" s="74"/>
      <c r="L40" s="74"/>
      <c r="N40" s="74"/>
    </row>
    <row r="41" spans="1:14" ht="30" customHeight="1">
      <c r="A41" s="37">
        <v>157</v>
      </c>
      <c r="B41" s="38" t="s">
        <v>224</v>
      </c>
      <c r="C41" s="40" t="s">
        <v>225</v>
      </c>
      <c r="D41" s="40" t="s">
        <v>62</v>
      </c>
      <c r="E41" s="41" t="s">
        <v>34</v>
      </c>
      <c r="F41" s="69">
        <v>20.029</v>
      </c>
      <c r="G41" s="295">
        <v>254.37</v>
      </c>
      <c r="H41" s="40" t="s">
        <v>63</v>
      </c>
      <c r="I41" s="31"/>
      <c r="K41" s="74"/>
      <c r="L41" s="74"/>
      <c r="N41" s="74"/>
    </row>
    <row r="42" spans="1:14" ht="30" customHeight="1">
      <c r="A42" s="37">
        <v>158</v>
      </c>
      <c r="B42" s="40" t="s">
        <v>226</v>
      </c>
      <c r="C42" s="40" t="s">
        <v>227</v>
      </c>
      <c r="D42" s="40" t="s">
        <v>62</v>
      </c>
      <c r="E42" s="41" t="s">
        <v>34</v>
      </c>
      <c r="F42" s="69">
        <v>55</v>
      </c>
      <c r="G42" s="295">
        <v>7628.5</v>
      </c>
      <c r="H42" s="40" t="s">
        <v>63</v>
      </c>
      <c r="I42" s="31"/>
      <c r="K42" s="74"/>
      <c r="L42" s="74"/>
      <c r="N42" s="74"/>
    </row>
    <row r="43" spans="1:14" ht="30" customHeight="1">
      <c r="A43" s="37">
        <v>159</v>
      </c>
      <c r="B43" s="40" t="s">
        <v>276</v>
      </c>
      <c r="C43" s="40" t="s">
        <v>277</v>
      </c>
      <c r="D43" s="40" t="s">
        <v>62</v>
      </c>
      <c r="E43" s="41" t="s">
        <v>34</v>
      </c>
      <c r="F43" s="69">
        <v>20</v>
      </c>
      <c r="G43" s="295">
        <v>3792</v>
      </c>
      <c r="H43" s="40" t="s">
        <v>63</v>
      </c>
      <c r="I43" s="31"/>
      <c r="K43" s="74"/>
      <c r="L43" s="74"/>
      <c r="N43" s="74"/>
    </row>
    <row r="44" spans="1:14" ht="45" customHeight="1">
      <c r="A44" s="37">
        <v>160</v>
      </c>
      <c r="B44" s="38" t="s">
        <v>60</v>
      </c>
      <c r="C44" s="40" t="s">
        <v>61</v>
      </c>
      <c r="D44" s="40" t="s">
        <v>62</v>
      </c>
      <c r="E44" s="41" t="s">
        <v>34</v>
      </c>
      <c r="F44" s="69">
        <v>10</v>
      </c>
      <c r="G44" s="295">
        <v>436</v>
      </c>
      <c r="H44" s="40" t="s">
        <v>63</v>
      </c>
      <c r="I44" s="31"/>
      <c r="K44" s="74"/>
      <c r="L44" s="74"/>
      <c r="N44" s="74"/>
    </row>
    <row r="45" spans="1:14" ht="30" customHeight="1">
      <c r="A45" s="37">
        <v>161</v>
      </c>
      <c r="B45" s="40" t="s">
        <v>95</v>
      </c>
      <c r="C45" s="40" t="s">
        <v>96</v>
      </c>
      <c r="D45" s="40" t="s">
        <v>62</v>
      </c>
      <c r="E45" s="41" t="s">
        <v>34</v>
      </c>
      <c r="F45" s="69">
        <v>150</v>
      </c>
      <c r="G45" s="295">
        <v>31740</v>
      </c>
      <c r="H45" s="40" t="s">
        <v>63</v>
      </c>
      <c r="I45" s="31"/>
      <c r="K45" s="74"/>
      <c r="L45" s="74"/>
      <c r="N45" s="74"/>
    </row>
    <row r="46" spans="1:14" ht="30" customHeight="1">
      <c r="A46" s="37">
        <v>162</v>
      </c>
      <c r="B46" s="40" t="s">
        <v>97</v>
      </c>
      <c r="C46" s="345" t="s">
        <v>87</v>
      </c>
      <c r="D46" s="40" t="s">
        <v>62</v>
      </c>
      <c r="E46" s="41" t="s">
        <v>34</v>
      </c>
      <c r="F46" s="69">
        <v>135</v>
      </c>
      <c r="G46" s="295">
        <v>31050</v>
      </c>
      <c r="H46" s="40" t="s">
        <v>63</v>
      </c>
      <c r="I46" s="31"/>
      <c r="K46" s="74"/>
      <c r="L46" s="74"/>
      <c r="N46" s="74"/>
    </row>
    <row r="47" spans="1:14" ht="45" customHeight="1">
      <c r="A47" s="37">
        <v>163</v>
      </c>
      <c r="B47" s="54" t="s">
        <v>98</v>
      </c>
      <c r="C47" s="40" t="s">
        <v>61</v>
      </c>
      <c r="D47" s="40" t="s">
        <v>62</v>
      </c>
      <c r="E47" s="41" t="s">
        <v>25</v>
      </c>
      <c r="F47" s="69">
        <v>1900</v>
      </c>
      <c r="G47" s="295">
        <f>24035+67.8+5.6-17.5</f>
        <v>24090.899999999998</v>
      </c>
      <c r="H47" s="40" t="s">
        <v>63</v>
      </c>
      <c r="I47" s="31"/>
      <c r="K47" s="74"/>
      <c r="L47" s="74"/>
      <c r="N47" s="74"/>
    </row>
    <row r="48" spans="1:14" ht="30" customHeight="1">
      <c r="A48" s="37">
        <v>164</v>
      </c>
      <c r="B48" s="40" t="s">
        <v>99</v>
      </c>
      <c r="C48" s="40" t="s">
        <v>100</v>
      </c>
      <c r="D48" s="40" t="s">
        <v>62</v>
      </c>
      <c r="E48" s="41" t="s">
        <v>34</v>
      </c>
      <c r="F48" s="69">
        <v>150</v>
      </c>
      <c r="G48" s="295">
        <v>45930</v>
      </c>
      <c r="H48" s="40" t="s">
        <v>63</v>
      </c>
      <c r="I48" s="31"/>
      <c r="K48" s="74"/>
      <c r="L48" s="74"/>
      <c r="N48" s="74"/>
    </row>
    <row r="49" spans="1:14" ht="30" customHeight="1">
      <c r="A49" s="37">
        <v>165</v>
      </c>
      <c r="B49" s="40" t="s">
        <v>228</v>
      </c>
      <c r="C49" s="40" t="s">
        <v>229</v>
      </c>
      <c r="D49" s="40" t="s">
        <v>62</v>
      </c>
      <c r="E49" s="41" t="s">
        <v>34</v>
      </c>
      <c r="F49" s="69">
        <v>150</v>
      </c>
      <c r="G49" s="295">
        <v>6135</v>
      </c>
      <c r="H49" s="40" t="s">
        <v>63</v>
      </c>
      <c r="I49" s="31"/>
      <c r="K49" s="74"/>
      <c r="L49" s="74"/>
      <c r="N49" s="74"/>
    </row>
    <row r="50" spans="1:14" ht="30" customHeight="1">
      <c r="A50" s="37">
        <v>166</v>
      </c>
      <c r="B50" s="40" t="s">
        <v>103</v>
      </c>
      <c r="C50" s="40" t="s">
        <v>104</v>
      </c>
      <c r="D50" s="40" t="s">
        <v>62</v>
      </c>
      <c r="E50" s="41" t="s">
        <v>25</v>
      </c>
      <c r="F50" s="69">
        <v>4000</v>
      </c>
      <c r="G50" s="295">
        <v>18560</v>
      </c>
      <c r="H50" s="40" t="s">
        <v>63</v>
      </c>
      <c r="I50" s="31"/>
      <c r="K50" s="74"/>
      <c r="L50" s="74"/>
      <c r="N50" s="74"/>
    </row>
    <row r="51" spans="1:14" ht="30" customHeight="1">
      <c r="A51" s="37">
        <v>167</v>
      </c>
      <c r="B51" s="40" t="s">
        <v>230</v>
      </c>
      <c r="C51" s="40" t="s">
        <v>231</v>
      </c>
      <c r="D51" s="40" t="s">
        <v>62</v>
      </c>
      <c r="E51" s="41" t="s">
        <v>77</v>
      </c>
      <c r="F51" s="69">
        <v>30</v>
      </c>
      <c r="G51" s="295">
        <v>1803</v>
      </c>
      <c r="H51" s="40" t="s">
        <v>63</v>
      </c>
      <c r="I51" s="31"/>
      <c r="K51" s="74"/>
      <c r="L51" s="74"/>
      <c r="N51" s="74"/>
    </row>
    <row r="52" spans="1:14" ht="30" customHeight="1">
      <c r="A52" s="37">
        <v>168</v>
      </c>
      <c r="B52" s="38" t="s">
        <v>232</v>
      </c>
      <c r="C52" s="40" t="s">
        <v>85</v>
      </c>
      <c r="D52" s="40" t="s">
        <v>62</v>
      </c>
      <c r="E52" s="41" t="s">
        <v>34</v>
      </c>
      <c r="F52" s="69">
        <v>21</v>
      </c>
      <c r="G52" s="295">
        <v>2482.2</v>
      </c>
      <c r="H52" s="40" t="s">
        <v>63</v>
      </c>
      <c r="I52" s="31"/>
      <c r="K52" s="74"/>
      <c r="L52" s="74"/>
      <c r="N52" s="74"/>
    </row>
    <row r="53" spans="1:14" ht="30" customHeight="1">
      <c r="A53" s="37">
        <v>169</v>
      </c>
      <c r="B53" s="38" t="s">
        <v>105</v>
      </c>
      <c r="C53" s="40" t="s">
        <v>70</v>
      </c>
      <c r="D53" s="40" t="s">
        <v>62</v>
      </c>
      <c r="E53" s="41" t="s">
        <v>34</v>
      </c>
      <c r="F53" s="69">
        <v>50</v>
      </c>
      <c r="G53" s="295">
        <v>1645</v>
      </c>
      <c r="H53" s="40" t="s">
        <v>63</v>
      </c>
      <c r="I53" s="31"/>
      <c r="K53" s="74"/>
      <c r="L53" s="74"/>
      <c r="N53" s="74"/>
    </row>
    <row r="54" spans="1:14" ht="30" customHeight="1">
      <c r="A54" s="37">
        <v>170</v>
      </c>
      <c r="B54" s="38" t="s">
        <v>268</v>
      </c>
      <c r="C54" s="40" t="s">
        <v>70</v>
      </c>
      <c r="D54" s="40" t="s">
        <v>62</v>
      </c>
      <c r="E54" s="41" t="s">
        <v>34</v>
      </c>
      <c r="F54" s="69">
        <v>10</v>
      </c>
      <c r="G54" s="295">
        <v>207</v>
      </c>
      <c r="H54" s="40" t="s">
        <v>63</v>
      </c>
      <c r="I54" s="31"/>
      <c r="K54" s="74"/>
      <c r="L54" s="74"/>
      <c r="N54" s="74"/>
    </row>
    <row r="55" spans="1:14" s="10" customFormat="1" ht="30" customHeight="1">
      <c r="A55" s="296"/>
      <c r="B55" s="260" t="s">
        <v>106</v>
      </c>
      <c r="C55" s="261"/>
      <c r="D55" s="262"/>
      <c r="E55" s="263"/>
      <c r="F55" s="263"/>
      <c r="G55" s="297">
        <f>SUM(G22:G54)</f>
        <v>318420</v>
      </c>
      <c r="H55" s="297"/>
      <c r="I55" s="31"/>
      <c r="K55" s="267"/>
      <c r="L55" s="267"/>
      <c r="N55" s="267"/>
    </row>
    <row r="56" spans="1:12" ht="30" customHeight="1">
      <c r="A56" s="37">
        <v>171</v>
      </c>
      <c r="B56" s="38" t="s">
        <v>235</v>
      </c>
      <c r="C56" s="40" t="s">
        <v>116</v>
      </c>
      <c r="D56" s="40" t="s">
        <v>109</v>
      </c>
      <c r="E56" s="41" t="s">
        <v>113</v>
      </c>
      <c r="F56" s="50" t="s">
        <v>117</v>
      </c>
      <c r="G56" s="295">
        <v>1021.5</v>
      </c>
      <c r="H56" s="40" t="s">
        <v>63</v>
      </c>
      <c r="I56" s="31"/>
      <c r="K56" s="12">
        <f>308+10</f>
        <v>318</v>
      </c>
      <c r="L56" s="74">
        <f aca="true" t="shared" si="0" ref="L56:L65">G56-K56</f>
        <v>703.5</v>
      </c>
    </row>
    <row r="57" spans="1:12" ht="30" customHeight="1">
      <c r="A57" s="37">
        <v>172</v>
      </c>
      <c r="B57" s="38" t="s">
        <v>433</v>
      </c>
      <c r="C57" s="40" t="s">
        <v>234</v>
      </c>
      <c r="D57" s="40" t="s">
        <v>109</v>
      </c>
      <c r="E57" s="41" t="s">
        <v>113</v>
      </c>
      <c r="F57" s="41" t="s">
        <v>117</v>
      </c>
      <c r="G57" s="295">
        <v>900</v>
      </c>
      <c r="H57" s="40" t="s">
        <v>63</v>
      </c>
      <c r="I57" s="31"/>
      <c r="K57" s="12">
        <f>260+40</f>
        <v>300</v>
      </c>
      <c r="L57" s="74">
        <f t="shared" si="0"/>
        <v>600</v>
      </c>
    </row>
    <row r="58" spans="1:12" ht="30" customHeight="1">
      <c r="A58" s="37">
        <v>173</v>
      </c>
      <c r="B58" s="38" t="s">
        <v>130</v>
      </c>
      <c r="C58" s="40" t="s">
        <v>131</v>
      </c>
      <c r="D58" s="40" t="s">
        <v>109</v>
      </c>
      <c r="E58" s="41" t="s">
        <v>25</v>
      </c>
      <c r="F58" s="50">
        <v>6</v>
      </c>
      <c r="G58" s="295">
        <v>1512</v>
      </c>
      <c r="H58" s="40" t="s">
        <v>132</v>
      </c>
      <c r="I58" s="31"/>
      <c r="L58" s="74">
        <f t="shared" si="0"/>
        <v>1512</v>
      </c>
    </row>
    <row r="59" spans="1:12" s="6" customFormat="1" ht="29.25" customHeight="1">
      <c r="A59" s="37">
        <v>174</v>
      </c>
      <c r="B59" s="160" t="s">
        <v>124</v>
      </c>
      <c r="C59" s="161" t="s">
        <v>125</v>
      </c>
      <c r="D59" s="133" t="s">
        <v>109</v>
      </c>
      <c r="E59" s="41" t="s">
        <v>126</v>
      </c>
      <c r="F59" s="41">
        <v>694</v>
      </c>
      <c r="G59" s="42">
        <v>2054.24</v>
      </c>
      <c r="H59" s="40" t="s">
        <v>19</v>
      </c>
      <c r="I59" s="31"/>
      <c r="L59" s="166">
        <f t="shared" si="0"/>
        <v>2054.24</v>
      </c>
    </row>
    <row r="60" spans="1:12" s="6" customFormat="1" ht="29.25" customHeight="1">
      <c r="A60" s="37">
        <v>175</v>
      </c>
      <c r="B60" s="160" t="s">
        <v>127</v>
      </c>
      <c r="C60" s="161" t="s">
        <v>125</v>
      </c>
      <c r="D60" s="133" t="s">
        <v>109</v>
      </c>
      <c r="E60" s="41" t="s">
        <v>126</v>
      </c>
      <c r="F60" s="41">
        <v>1000</v>
      </c>
      <c r="G60" s="42">
        <v>2580</v>
      </c>
      <c r="H60" s="40" t="s">
        <v>19</v>
      </c>
      <c r="I60" s="31"/>
      <c r="L60" s="166">
        <f t="shared" si="0"/>
        <v>2580</v>
      </c>
    </row>
    <row r="61" spans="1:12" ht="45" customHeight="1">
      <c r="A61" s="37">
        <v>176</v>
      </c>
      <c r="B61" s="98" t="s">
        <v>318</v>
      </c>
      <c r="C61" s="99" t="s">
        <v>108</v>
      </c>
      <c r="D61" s="99" t="s">
        <v>109</v>
      </c>
      <c r="E61" s="162" t="s">
        <v>110</v>
      </c>
      <c r="F61" s="50">
        <v>28</v>
      </c>
      <c r="G61" s="295">
        <v>2643.2</v>
      </c>
      <c r="H61" s="40" t="s">
        <v>63</v>
      </c>
      <c r="I61" s="31"/>
      <c r="K61" s="12">
        <v>944</v>
      </c>
      <c r="L61" s="74">
        <f t="shared" si="0"/>
        <v>1699.1999999999998</v>
      </c>
    </row>
    <row r="62" spans="1:12" ht="45" customHeight="1">
      <c r="A62" s="37">
        <v>177</v>
      </c>
      <c r="B62" s="98" t="s">
        <v>531</v>
      </c>
      <c r="C62" s="99" t="s">
        <v>532</v>
      </c>
      <c r="D62" s="99" t="s">
        <v>109</v>
      </c>
      <c r="E62" s="162" t="s">
        <v>113</v>
      </c>
      <c r="F62" s="162">
        <v>2</v>
      </c>
      <c r="G62" s="311">
        <v>1000</v>
      </c>
      <c r="H62" s="40" t="s">
        <v>19</v>
      </c>
      <c r="I62" s="31"/>
      <c r="L62" s="74"/>
    </row>
    <row r="63" spans="1:12" ht="30" customHeight="1">
      <c r="A63" s="37">
        <v>178</v>
      </c>
      <c r="B63" s="98" t="s">
        <v>281</v>
      </c>
      <c r="C63" s="99" t="s">
        <v>326</v>
      </c>
      <c r="D63" s="40" t="s">
        <v>109</v>
      </c>
      <c r="E63" s="41" t="s">
        <v>113</v>
      </c>
      <c r="F63" s="41" t="s">
        <v>117</v>
      </c>
      <c r="G63" s="295">
        <v>909</v>
      </c>
      <c r="H63" s="40" t="s">
        <v>63</v>
      </c>
      <c r="I63" s="31"/>
      <c r="K63" s="12">
        <f>470.96</f>
        <v>470.96</v>
      </c>
      <c r="L63" s="74">
        <f t="shared" si="0"/>
        <v>438.04</v>
      </c>
    </row>
    <row r="64" spans="1:12" ht="45" customHeight="1">
      <c r="A64" s="37">
        <v>179</v>
      </c>
      <c r="B64" s="98" t="s">
        <v>295</v>
      </c>
      <c r="C64" s="99" t="s">
        <v>112</v>
      </c>
      <c r="D64" s="99" t="s">
        <v>109</v>
      </c>
      <c r="E64" s="162" t="s">
        <v>113</v>
      </c>
      <c r="F64" s="50" t="s">
        <v>533</v>
      </c>
      <c r="G64" s="295">
        <v>9000</v>
      </c>
      <c r="H64" s="40" t="s">
        <v>63</v>
      </c>
      <c r="I64" s="31"/>
      <c r="K64" s="12">
        <v>2000</v>
      </c>
      <c r="L64" s="74">
        <f t="shared" si="0"/>
        <v>7000</v>
      </c>
    </row>
    <row r="65" spans="1:12" ht="45" customHeight="1">
      <c r="A65" s="37">
        <v>180</v>
      </c>
      <c r="B65" s="38" t="s">
        <v>236</v>
      </c>
      <c r="C65" s="40" t="s">
        <v>119</v>
      </c>
      <c r="D65" s="40" t="s">
        <v>109</v>
      </c>
      <c r="E65" s="41" t="s">
        <v>120</v>
      </c>
      <c r="F65" s="41" t="s">
        <v>121</v>
      </c>
      <c r="G65" s="295">
        <v>11091.06</v>
      </c>
      <c r="H65" s="40" t="s">
        <v>63</v>
      </c>
      <c r="I65" s="31"/>
      <c r="K65" s="12">
        <f>3496.02</f>
        <v>3496.02</v>
      </c>
      <c r="L65" s="74">
        <f t="shared" si="0"/>
        <v>7595.039999999999</v>
      </c>
    </row>
    <row r="66" spans="1:9" s="10" customFormat="1" ht="30" customHeight="1">
      <c r="A66" s="296"/>
      <c r="B66" s="260" t="s">
        <v>136</v>
      </c>
      <c r="C66" s="261"/>
      <c r="D66" s="262"/>
      <c r="E66" s="263"/>
      <c r="F66" s="263"/>
      <c r="G66" s="297">
        <f>SUM(G56:G65)</f>
        <v>32711</v>
      </c>
      <c r="H66" s="312"/>
      <c r="I66" s="31"/>
    </row>
    <row r="67" spans="1:13" ht="29.25" customHeight="1">
      <c r="A67" s="37">
        <v>181</v>
      </c>
      <c r="B67" s="38" t="s">
        <v>137</v>
      </c>
      <c r="C67" s="52" t="s">
        <v>138</v>
      </c>
      <c r="D67" s="40" t="s">
        <v>139</v>
      </c>
      <c r="E67" s="41" t="s">
        <v>140</v>
      </c>
      <c r="F67" s="53">
        <f>G67/2878.55</f>
        <v>157.7374025116812</v>
      </c>
      <c r="G67" s="295">
        <v>454055</v>
      </c>
      <c r="H67" s="40" t="s">
        <v>63</v>
      </c>
      <c r="I67" s="31"/>
      <c r="L67" s="74">
        <f>F67-J67</f>
        <v>157.7374025116812</v>
      </c>
      <c r="M67" s="74">
        <f>G67-K67</f>
        <v>454055</v>
      </c>
    </row>
    <row r="68" spans="1:9" s="10" customFormat="1" ht="30" customHeight="1">
      <c r="A68" s="296"/>
      <c r="B68" s="260" t="s">
        <v>141</v>
      </c>
      <c r="C68" s="261"/>
      <c r="D68" s="262"/>
      <c r="E68" s="263"/>
      <c r="F68" s="263"/>
      <c r="G68" s="297">
        <f>SUM(G67:G67)</f>
        <v>454055</v>
      </c>
      <c r="H68" s="265"/>
      <c r="I68" s="31"/>
    </row>
    <row r="69" spans="1:13" ht="30" customHeight="1">
      <c r="A69" s="37">
        <v>182</v>
      </c>
      <c r="B69" s="38" t="s">
        <v>485</v>
      </c>
      <c r="C69" s="54" t="s">
        <v>245</v>
      </c>
      <c r="D69" s="40" t="s">
        <v>246</v>
      </c>
      <c r="E69" s="41" t="s">
        <v>110</v>
      </c>
      <c r="F69" s="53">
        <v>385</v>
      </c>
      <c r="G69" s="295">
        <v>4896.57</v>
      </c>
      <c r="H69" s="40" t="s">
        <v>63</v>
      </c>
      <c r="I69" s="31"/>
      <c r="L69" s="74">
        <f>F69-J69</f>
        <v>385</v>
      </c>
      <c r="M69" s="74">
        <f>G69-K69</f>
        <v>4896.57</v>
      </c>
    </row>
    <row r="70" spans="1:13" ht="30" customHeight="1">
      <c r="A70" s="37">
        <v>183</v>
      </c>
      <c r="B70" s="38" t="s">
        <v>517</v>
      </c>
      <c r="C70" s="55" t="s">
        <v>518</v>
      </c>
      <c r="D70" s="40" t="s">
        <v>246</v>
      </c>
      <c r="E70" s="41" t="s">
        <v>110</v>
      </c>
      <c r="F70" s="53">
        <v>385</v>
      </c>
      <c r="G70" s="295">
        <v>5258.43</v>
      </c>
      <c r="H70" s="40" t="s">
        <v>63</v>
      </c>
      <c r="I70" s="31"/>
      <c r="L70" s="74">
        <f>F70-J70</f>
        <v>385</v>
      </c>
      <c r="M70" s="74">
        <f>G70-K70</f>
        <v>5258.43</v>
      </c>
    </row>
    <row r="71" spans="1:9" s="10" customFormat="1" ht="30" customHeight="1">
      <c r="A71" s="296"/>
      <c r="B71" s="260" t="s">
        <v>247</v>
      </c>
      <c r="C71" s="261"/>
      <c r="D71" s="262"/>
      <c r="E71" s="263"/>
      <c r="F71" s="263"/>
      <c r="G71" s="297">
        <f>SUM(G69:G70)</f>
        <v>10155</v>
      </c>
      <c r="H71" s="265"/>
      <c r="I71" s="31"/>
    </row>
    <row r="72" spans="1:13" ht="29.25" customHeight="1">
      <c r="A72" s="37">
        <v>184</v>
      </c>
      <c r="B72" s="38" t="s">
        <v>142</v>
      </c>
      <c r="C72" s="54" t="s">
        <v>143</v>
      </c>
      <c r="D72" s="40" t="s">
        <v>144</v>
      </c>
      <c r="E72" s="41" t="s">
        <v>145</v>
      </c>
      <c r="F72" s="56">
        <f>G72/4.14243</f>
        <v>20782.728977918756</v>
      </c>
      <c r="G72" s="295">
        <v>86091</v>
      </c>
      <c r="H72" s="40" t="s">
        <v>63</v>
      </c>
      <c r="I72" s="31"/>
      <c r="K72" s="12">
        <f>38684.62+6915.38</f>
        <v>45600</v>
      </c>
      <c r="L72" s="74">
        <f>F72-J72</f>
        <v>20782.728977918756</v>
      </c>
      <c r="M72" s="74">
        <f>G72-K72</f>
        <v>40491</v>
      </c>
    </row>
    <row r="73" spans="1:9" s="10" customFormat="1" ht="30" customHeight="1">
      <c r="A73" s="296"/>
      <c r="B73" s="260" t="s">
        <v>146</v>
      </c>
      <c r="C73" s="261"/>
      <c r="D73" s="262"/>
      <c r="E73" s="263"/>
      <c r="F73" s="263"/>
      <c r="G73" s="297">
        <f>G72</f>
        <v>86091</v>
      </c>
      <c r="H73" s="265"/>
      <c r="I73" s="31"/>
    </row>
    <row r="74" spans="1:9" ht="45" customHeight="1">
      <c r="A74" s="37">
        <v>185</v>
      </c>
      <c r="B74" s="38" t="s">
        <v>534</v>
      </c>
      <c r="C74" s="54" t="s">
        <v>535</v>
      </c>
      <c r="D74" s="40" t="s">
        <v>149</v>
      </c>
      <c r="E74" s="41" t="s">
        <v>25</v>
      </c>
      <c r="F74" s="56">
        <v>1</v>
      </c>
      <c r="G74" s="295">
        <v>23500</v>
      </c>
      <c r="H74" s="40" t="s">
        <v>63</v>
      </c>
      <c r="I74" s="31"/>
    </row>
    <row r="75" spans="1:9" s="10" customFormat="1" ht="30" customHeight="1">
      <c r="A75" s="296"/>
      <c r="B75" s="260" t="s">
        <v>150</v>
      </c>
      <c r="C75" s="261"/>
      <c r="D75" s="262"/>
      <c r="E75" s="262"/>
      <c r="F75" s="262"/>
      <c r="G75" s="297">
        <f>G74</f>
        <v>23500</v>
      </c>
      <c r="H75" s="265"/>
      <c r="I75" s="31"/>
    </row>
    <row r="76" spans="1:9" ht="22.5" customHeight="1">
      <c r="A76" s="102"/>
      <c r="B76" s="103" t="s">
        <v>151</v>
      </c>
      <c r="C76" s="103"/>
      <c r="D76" s="103"/>
      <c r="E76" s="103"/>
      <c r="F76" s="103"/>
      <c r="G76" s="303"/>
      <c r="H76" s="105"/>
      <c r="I76" s="141"/>
    </row>
    <row r="77" spans="1:9" ht="22.5" customHeight="1">
      <c r="A77" s="19"/>
      <c r="B77" s="106" t="s">
        <v>152</v>
      </c>
      <c r="C77" s="107"/>
      <c r="D77" s="108" t="s">
        <v>153</v>
      </c>
      <c r="E77" s="109"/>
      <c r="F77" s="109"/>
      <c r="G77" s="304"/>
      <c r="H77" s="8"/>
      <c r="I77" s="141"/>
    </row>
    <row r="78" spans="1:9" ht="22.5" customHeight="1">
      <c r="A78" s="19"/>
      <c r="B78" s="111"/>
      <c r="C78" s="9"/>
      <c r="D78" s="112" t="s">
        <v>154</v>
      </c>
      <c r="E78" s="113" t="s">
        <v>155</v>
      </c>
      <c r="F78" s="114"/>
      <c r="G78" s="304"/>
      <c r="H78" s="8"/>
      <c r="I78" s="141"/>
    </row>
    <row r="79" spans="1:9" ht="22.5" customHeight="1">
      <c r="A79" s="19"/>
      <c r="B79" s="115" t="s">
        <v>156</v>
      </c>
      <c r="C79" s="116"/>
      <c r="D79" s="108" t="s">
        <v>157</v>
      </c>
      <c r="E79" s="109"/>
      <c r="F79" s="109"/>
      <c r="G79" s="304"/>
      <c r="H79" s="8"/>
      <c r="I79" s="141"/>
    </row>
    <row r="80" spans="1:9" ht="22.5" customHeight="1">
      <c r="A80" s="19"/>
      <c r="B80" s="111"/>
      <c r="C80" s="9"/>
      <c r="D80" s="112" t="s">
        <v>154</v>
      </c>
      <c r="E80" s="113"/>
      <c r="F80" s="114"/>
      <c r="G80" s="304"/>
      <c r="H80" s="8"/>
      <c r="I80" s="141"/>
    </row>
    <row r="81" spans="1:9" ht="22.5" customHeight="1">
      <c r="A81" s="19"/>
      <c r="B81" s="115" t="s">
        <v>158</v>
      </c>
      <c r="C81" s="9"/>
      <c r="D81" s="9"/>
      <c r="E81" s="9"/>
      <c r="F81" s="9"/>
      <c r="G81" s="304"/>
      <c r="H81" s="8"/>
      <c r="I81" s="141"/>
    </row>
    <row r="82" spans="1:9" s="2" customFormat="1" ht="30" customHeight="1">
      <c r="A82" s="169"/>
      <c r="B82" s="305" t="s">
        <v>159</v>
      </c>
      <c r="C82" s="116"/>
      <c r="D82" s="306" t="s">
        <v>160</v>
      </c>
      <c r="E82" s="306"/>
      <c r="F82" s="306"/>
      <c r="G82" s="307"/>
      <c r="H82" s="171"/>
      <c r="I82" s="191"/>
    </row>
    <row r="83" spans="1:9" ht="22.5" customHeight="1">
      <c r="A83" s="19"/>
      <c r="B83" s="119" t="s">
        <v>486</v>
      </c>
      <c r="C83" s="119"/>
      <c r="D83" s="119"/>
      <c r="E83" s="9"/>
      <c r="F83" s="9"/>
      <c r="G83" s="304"/>
      <c r="H83" s="8"/>
      <c r="I83" s="141"/>
    </row>
  </sheetData>
  <sheetProtection/>
  <mergeCells count="19">
    <mergeCell ref="F1:G1"/>
    <mergeCell ref="A2:I2"/>
    <mergeCell ref="B21:C21"/>
    <mergeCell ref="B55:C55"/>
    <mergeCell ref="B66:C66"/>
    <mergeCell ref="B68:C68"/>
    <mergeCell ref="B71:C71"/>
    <mergeCell ref="B73:C73"/>
    <mergeCell ref="B75:C7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75"/>
  </mergeCells>
  <hyperlinks>
    <hyperlink ref="C19" r:id="rId1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38"/>
  <sheetViews>
    <sheetView view="pageBreakPreview" zoomScale="90" zoomScaleNormal="90" zoomScaleSheetLayoutView="90" workbookViewId="0" topLeftCell="A25">
      <selection activeCell="F10" sqref="F10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24" t="s">
        <v>536</v>
      </c>
      <c r="B2" s="24"/>
      <c r="C2" s="24"/>
      <c r="D2" s="24"/>
      <c r="E2" s="24"/>
      <c r="F2" s="24"/>
      <c r="G2" s="24"/>
      <c r="H2" s="24"/>
      <c r="I2" s="24"/>
    </row>
    <row r="3" spans="3:9" ht="15" customHeight="1">
      <c r="C3" s="145"/>
      <c r="D3" s="60" t="s">
        <v>4</v>
      </c>
      <c r="E3" s="145"/>
      <c r="F3" s="145"/>
      <c r="G3" s="309"/>
      <c r="H3" s="61"/>
      <c r="I3" s="61"/>
    </row>
    <row r="4" spans="5:6" ht="15" customHeight="1">
      <c r="E4" s="3"/>
      <c r="F4" s="3"/>
    </row>
    <row r="5" spans="1:11" ht="15.75" customHeight="1">
      <c r="A5" s="83" t="s">
        <v>5</v>
      </c>
      <c r="B5" s="27" t="s">
        <v>6</v>
      </c>
      <c r="C5" s="28" t="s">
        <v>7</v>
      </c>
      <c r="D5" s="63" t="s">
        <v>8</v>
      </c>
      <c r="E5" s="28" t="s">
        <v>9</v>
      </c>
      <c r="F5" s="28" t="s">
        <v>10</v>
      </c>
      <c r="G5" s="63" t="s">
        <v>11</v>
      </c>
      <c r="H5" s="63" t="s">
        <v>12</v>
      </c>
      <c r="I5" s="63" t="s">
        <v>13</v>
      </c>
      <c r="J5" s="71"/>
      <c r="K5" s="71"/>
    </row>
    <row r="6" spans="1:9" ht="31.5" customHeight="1">
      <c r="A6" s="84"/>
      <c r="B6" s="30"/>
      <c r="C6" s="31"/>
      <c r="D6" s="65"/>
      <c r="E6" s="31"/>
      <c r="F6" s="31"/>
      <c r="G6" s="65"/>
      <c r="H6" s="65"/>
      <c r="I6" s="65"/>
    </row>
    <row r="7" spans="1:9" ht="37.5" customHeight="1">
      <c r="A7" s="85"/>
      <c r="B7" s="33"/>
      <c r="C7" s="34"/>
      <c r="D7" s="67"/>
      <c r="E7" s="34"/>
      <c r="F7" s="34"/>
      <c r="G7" s="67"/>
      <c r="H7" s="67"/>
      <c r="I7" s="67"/>
    </row>
    <row r="8" spans="1:9" ht="20.25" customHeight="1">
      <c r="A8" s="32">
        <v>1</v>
      </c>
      <c r="B8" s="33">
        <v>2</v>
      </c>
      <c r="C8" s="34">
        <v>3</v>
      </c>
      <c r="D8" s="67">
        <v>4</v>
      </c>
      <c r="E8" s="34">
        <v>5</v>
      </c>
      <c r="F8" s="34">
        <v>6</v>
      </c>
      <c r="G8" s="67">
        <v>7</v>
      </c>
      <c r="H8" s="67">
        <v>8</v>
      </c>
      <c r="I8" s="76">
        <v>9</v>
      </c>
    </row>
    <row r="9" spans="1:14" ht="30" customHeight="1">
      <c r="A9" s="37">
        <v>108</v>
      </c>
      <c r="B9" s="38" t="s">
        <v>15</v>
      </c>
      <c r="C9" s="39" t="s">
        <v>16</v>
      </c>
      <c r="D9" s="40" t="s">
        <v>537</v>
      </c>
      <c r="E9" s="41" t="s">
        <v>18</v>
      </c>
      <c r="F9" s="41">
        <v>5</v>
      </c>
      <c r="G9" s="295">
        <v>1050</v>
      </c>
      <c r="H9" s="40" t="s">
        <v>63</v>
      </c>
      <c r="I9" s="77" t="s">
        <v>253</v>
      </c>
      <c r="L9" s="74">
        <f>G9-K9</f>
        <v>1050</v>
      </c>
      <c r="M9" s="12">
        <v>4</v>
      </c>
      <c r="N9" s="12">
        <f>550-330</f>
        <v>220</v>
      </c>
    </row>
    <row r="10" spans="1:12" ht="30" customHeight="1">
      <c r="A10" s="37">
        <v>109</v>
      </c>
      <c r="B10" s="38" t="s">
        <v>538</v>
      </c>
      <c r="C10" s="43" t="s">
        <v>16</v>
      </c>
      <c r="D10" s="40" t="s">
        <v>537</v>
      </c>
      <c r="E10" s="41" t="s">
        <v>25</v>
      </c>
      <c r="F10" s="41">
        <v>20</v>
      </c>
      <c r="G10" s="295">
        <v>300</v>
      </c>
      <c r="H10" s="40" t="s">
        <v>63</v>
      </c>
      <c r="I10" s="149"/>
      <c r="L10" s="74"/>
    </row>
    <row r="11" spans="1:12" ht="30" customHeight="1">
      <c r="A11" s="37">
        <v>110</v>
      </c>
      <c r="B11" s="38" t="s">
        <v>351</v>
      </c>
      <c r="C11" s="43" t="s">
        <v>31</v>
      </c>
      <c r="D11" s="40" t="s">
        <v>537</v>
      </c>
      <c r="E11" s="41" t="s">
        <v>22</v>
      </c>
      <c r="F11" s="41">
        <v>2</v>
      </c>
      <c r="G11" s="295">
        <v>52.52</v>
      </c>
      <c r="H11" s="40" t="s">
        <v>63</v>
      </c>
      <c r="I11" s="149"/>
      <c r="L11" s="74"/>
    </row>
    <row r="12" spans="1:12" ht="30" customHeight="1">
      <c r="A12" s="37">
        <v>111</v>
      </c>
      <c r="B12" s="38" t="s">
        <v>539</v>
      </c>
      <c r="C12" s="40" t="s">
        <v>27</v>
      </c>
      <c r="D12" s="40" t="s">
        <v>537</v>
      </c>
      <c r="E12" s="41" t="s">
        <v>22</v>
      </c>
      <c r="F12" s="41">
        <v>1</v>
      </c>
      <c r="G12" s="295">
        <v>175.38</v>
      </c>
      <c r="H12" s="40" t="s">
        <v>63</v>
      </c>
      <c r="I12" s="149"/>
      <c r="L12" s="74"/>
    </row>
    <row r="13" spans="1:12" ht="30" customHeight="1">
      <c r="A13" s="37">
        <v>112</v>
      </c>
      <c r="B13" s="38" t="s">
        <v>540</v>
      </c>
      <c r="C13" s="40" t="s">
        <v>27</v>
      </c>
      <c r="D13" s="40" t="s">
        <v>537</v>
      </c>
      <c r="E13" s="41" t="s">
        <v>25</v>
      </c>
      <c r="F13" s="41">
        <v>1</v>
      </c>
      <c r="G13" s="295">
        <v>59.35</v>
      </c>
      <c r="H13" s="40" t="s">
        <v>63</v>
      </c>
      <c r="I13" s="149"/>
      <c r="L13" s="74">
        <f>G13-K13</f>
        <v>59.35</v>
      </c>
    </row>
    <row r="14" spans="1:12" ht="45" customHeight="1">
      <c r="A14" s="37">
        <v>113</v>
      </c>
      <c r="B14" s="94" t="s">
        <v>541</v>
      </c>
      <c r="C14" s="40" t="s">
        <v>168</v>
      </c>
      <c r="D14" s="40" t="s">
        <v>537</v>
      </c>
      <c r="E14" s="41" t="s">
        <v>25</v>
      </c>
      <c r="F14" s="41">
        <v>5</v>
      </c>
      <c r="G14" s="295">
        <v>427.4</v>
      </c>
      <c r="H14" s="40" t="s">
        <v>63</v>
      </c>
      <c r="I14" s="149"/>
      <c r="L14" s="74"/>
    </row>
    <row r="15" spans="1:12" ht="30" customHeight="1">
      <c r="A15" s="37">
        <v>114</v>
      </c>
      <c r="B15" s="94" t="s">
        <v>418</v>
      </c>
      <c r="C15" s="40" t="s">
        <v>171</v>
      </c>
      <c r="D15" s="40" t="s">
        <v>537</v>
      </c>
      <c r="E15" s="41" t="s">
        <v>25</v>
      </c>
      <c r="F15" s="41">
        <v>6</v>
      </c>
      <c r="G15" s="295">
        <v>317.94</v>
      </c>
      <c r="H15" s="40" t="s">
        <v>63</v>
      </c>
      <c r="I15" s="149"/>
      <c r="L15" s="74"/>
    </row>
    <row r="16" spans="1:12" ht="30" customHeight="1">
      <c r="A16" s="37">
        <v>115</v>
      </c>
      <c r="B16" s="94" t="s">
        <v>542</v>
      </c>
      <c r="C16" s="40" t="s">
        <v>24</v>
      </c>
      <c r="D16" s="40" t="s">
        <v>537</v>
      </c>
      <c r="E16" s="41" t="s">
        <v>25</v>
      </c>
      <c r="F16" s="41">
        <v>2</v>
      </c>
      <c r="G16" s="295">
        <v>450.28</v>
      </c>
      <c r="H16" s="40" t="s">
        <v>63</v>
      </c>
      <c r="I16" s="149"/>
      <c r="L16" s="74"/>
    </row>
    <row r="17" spans="1:12" ht="30" customHeight="1">
      <c r="A17" s="37">
        <v>116</v>
      </c>
      <c r="B17" s="94" t="s">
        <v>23</v>
      </c>
      <c r="C17" s="40" t="s">
        <v>24</v>
      </c>
      <c r="D17" s="40" t="s">
        <v>537</v>
      </c>
      <c r="E17" s="41" t="s">
        <v>25</v>
      </c>
      <c r="F17" s="41">
        <v>2</v>
      </c>
      <c r="G17" s="295">
        <v>348.58</v>
      </c>
      <c r="H17" s="40" t="s">
        <v>63</v>
      </c>
      <c r="I17" s="149"/>
      <c r="L17" s="74"/>
    </row>
    <row r="18" spans="1:12" ht="30" customHeight="1">
      <c r="A18" s="37">
        <v>117</v>
      </c>
      <c r="B18" s="94" t="s">
        <v>51</v>
      </c>
      <c r="C18" s="40" t="s">
        <v>52</v>
      </c>
      <c r="D18" s="40" t="s">
        <v>537</v>
      </c>
      <c r="E18" s="41" t="s">
        <v>25</v>
      </c>
      <c r="F18" s="41">
        <v>5</v>
      </c>
      <c r="G18" s="146">
        <v>99.55</v>
      </c>
      <c r="H18" s="40" t="s">
        <v>63</v>
      </c>
      <c r="I18" s="149"/>
      <c r="L18" s="74"/>
    </row>
    <row r="19" spans="1:12" ht="45" customHeight="1">
      <c r="A19" s="37">
        <v>118</v>
      </c>
      <c r="B19" s="94" t="s">
        <v>543</v>
      </c>
      <c r="C19" s="43" t="s">
        <v>544</v>
      </c>
      <c r="D19" s="40" t="s">
        <v>537</v>
      </c>
      <c r="E19" s="41" t="s">
        <v>18</v>
      </c>
      <c r="F19" s="41">
        <v>1</v>
      </c>
      <c r="G19" s="295">
        <v>505</v>
      </c>
      <c r="H19" s="40" t="s">
        <v>63</v>
      </c>
      <c r="I19" s="149"/>
      <c r="L19" s="74"/>
    </row>
    <row r="20" spans="1:12" s="10" customFormat="1" ht="30" customHeight="1">
      <c r="A20" s="296"/>
      <c r="B20" s="260" t="s">
        <v>545</v>
      </c>
      <c r="C20" s="261"/>
      <c r="D20" s="262"/>
      <c r="E20" s="263"/>
      <c r="F20" s="263"/>
      <c r="G20" s="297">
        <f>SUM(G9:G19)</f>
        <v>3786</v>
      </c>
      <c r="H20" s="262"/>
      <c r="I20" s="149"/>
      <c r="K20" s="267">
        <f>SUM(K9:K19)</f>
        <v>0</v>
      </c>
      <c r="L20" s="267">
        <f>SUM(L9:L19)</f>
        <v>1109.35</v>
      </c>
    </row>
    <row r="21" spans="1:12" ht="30" customHeight="1">
      <c r="A21" s="37">
        <v>119</v>
      </c>
      <c r="B21" s="38" t="s">
        <v>235</v>
      </c>
      <c r="C21" s="40" t="s">
        <v>116</v>
      </c>
      <c r="D21" s="40" t="s">
        <v>546</v>
      </c>
      <c r="E21" s="41" t="s">
        <v>113</v>
      </c>
      <c r="F21" s="50" t="s">
        <v>117</v>
      </c>
      <c r="G21" s="295">
        <v>318</v>
      </c>
      <c r="H21" s="40" t="s">
        <v>63</v>
      </c>
      <c r="I21" s="149"/>
      <c r="K21" s="12">
        <f>99</f>
        <v>99</v>
      </c>
      <c r="L21" s="74">
        <f>G21-K21</f>
        <v>219</v>
      </c>
    </row>
    <row r="22" spans="1:12" ht="30" customHeight="1">
      <c r="A22" s="37">
        <v>120</v>
      </c>
      <c r="B22" s="38" t="s">
        <v>433</v>
      </c>
      <c r="C22" s="40" t="s">
        <v>234</v>
      </c>
      <c r="D22" s="40" t="s">
        <v>546</v>
      </c>
      <c r="E22" s="41" t="s">
        <v>113</v>
      </c>
      <c r="F22" s="50" t="s">
        <v>117</v>
      </c>
      <c r="G22" s="295">
        <v>3780</v>
      </c>
      <c r="H22" s="40" t="s">
        <v>63</v>
      </c>
      <c r="I22" s="149"/>
      <c r="K22" s="12">
        <f>1260</f>
        <v>1260</v>
      </c>
      <c r="L22" s="74">
        <f>G22-K22</f>
        <v>2520</v>
      </c>
    </row>
    <row r="23" spans="1:12" ht="43.5" customHeight="1">
      <c r="A23" s="37">
        <v>121</v>
      </c>
      <c r="B23" s="38" t="s">
        <v>236</v>
      </c>
      <c r="C23" s="40" t="s">
        <v>119</v>
      </c>
      <c r="D23" s="40" t="s">
        <v>546</v>
      </c>
      <c r="E23" s="41" t="s">
        <v>120</v>
      </c>
      <c r="F23" s="41" t="s">
        <v>121</v>
      </c>
      <c r="G23" s="295">
        <v>864.98</v>
      </c>
      <c r="H23" s="40" t="s">
        <v>63</v>
      </c>
      <c r="I23" s="149"/>
      <c r="K23" s="12">
        <f>260.68</f>
        <v>260.68</v>
      </c>
      <c r="L23" s="74">
        <f>G23-K23</f>
        <v>604.3</v>
      </c>
    </row>
    <row r="24" spans="1:12" ht="30" customHeight="1">
      <c r="A24" s="37">
        <v>122</v>
      </c>
      <c r="B24" s="38" t="s">
        <v>130</v>
      </c>
      <c r="C24" s="40" t="s">
        <v>131</v>
      </c>
      <c r="D24" s="40" t="s">
        <v>546</v>
      </c>
      <c r="E24" s="41" t="s">
        <v>113</v>
      </c>
      <c r="F24" s="41">
        <v>3</v>
      </c>
      <c r="G24" s="295">
        <v>840</v>
      </c>
      <c r="H24" s="40" t="s">
        <v>19</v>
      </c>
      <c r="I24" s="149"/>
      <c r="K24" s="12">
        <f>50</f>
        <v>50</v>
      </c>
      <c r="L24" s="74">
        <f>G24-K24</f>
        <v>790</v>
      </c>
    </row>
    <row r="25" spans="1:12" ht="30" customHeight="1">
      <c r="A25" s="37">
        <v>123</v>
      </c>
      <c r="B25" s="38" t="s">
        <v>547</v>
      </c>
      <c r="C25" s="40" t="s">
        <v>548</v>
      </c>
      <c r="D25" s="40" t="s">
        <v>546</v>
      </c>
      <c r="E25" s="41" t="s">
        <v>113</v>
      </c>
      <c r="F25" s="41">
        <v>3</v>
      </c>
      <c r="G25" s="295">
        <v>1207.02</v>
      </c>
      <c r="H25" s="40" t="s">
        <v>63</v>
      </c>
      <c r="I25" s="149"/>
      <c r="K25" s="12">
        <f>50</f>
        <v>50</v>
      </c>
      <c r="L25" s="74">
        <f>G25-K25</f>
        <v>1157.02</v>
      </c>
    </row>
    <row r="26" spans="1:12" s="10" customFormat="1" ht="30" customHeight="1">
      <c r="A26" s="296"/>
      <c r="B26" s="260" t="s">
        <v>549</v>
      </c>
      <c r="C26" s="261"/>
      <c r="D26" s="262"/>
      <c r="E26" s="263"/>
      <c r="F26" s="263"/>
      <c r="G26" s="297">
        <f>SUM(G21:G25)</f>
        <v>7010</v>
      </c>
      <c r="H26" s="262"/>
      <c r="I26" s="149"/>
      <c r="K26" s="267">
        <f>SUM(K21:K25)</f>
        <v>1719.68</v>
      </c>
      <c r="L26" s="267">
        <f>SUM(L21:L25)</f>
        <v>5290.32</v>
      </c>
    </row>
    <row r="27" spans="1:11" ht="30" customHeight="1">
      <c r="A27" s="37">
        <v>124</v>
      </c>
      <c r="B27" s="38" t="s">
        <v>142</v>
      </c>
      <c r="C27" s="54" t="s">
        <v>143</v>
      </c>
      <c r="D27" s="40" t="s">
        <v>550</v>
      </c>
      <c r="E27" s="41" t="s">
        <v>145</v>
      </c>
      <c r="F27" s="56">
        <f>G27/4.143</f>
        <v>108.61694424330196</v>
      </c>
      <c r="G27" s="295">
        <v>450</v>
      </c>
      <c r="H27" s="40" t="s">
        <v>63</v>
      </c>
      <c r="I27" s="149"/>
      <c r="K27" s="12">
        <f>165.72</f>
        <v>165.72</v>
      </c>
    </row>
    <row r="28" spans="1:9" s="10" customFormat="1" ht="30" customHeight="1">
      <c r="A28" s="296"/>
      <c r="B28" s="260" t="s">
        <v>551</v>
      </c>
      <c r="C28" s="261"/>
      <c r="D28" s="262"/>
      <c r="E28" s="263"/>
      <c r="F28" s="263"/>
      <c r="G28" s="297">
        <f>SUM(G27)</f>
        <v>450</v>
      </c>
      <c r="H28" s="262"/>
      <c r="I28" s="149"/>
    </row>
    <row r="29" spans="1:9" ht="30" customHeight="1">
      <c r="A29" s="37">
        <v>125</v>
      </c>
      <c r="B29" s="38" t="s">
        <v>552</v>
      </c>
      <c r="C29" s="52" t="s">
        <v>553</v>
      </c>
      <c r="D29" s="40" t="s">
        <v>554</v>
      </c>
      <c r="E29" s="41" t="s">
        <v>110</v>
      </c>
      <c r="F29" s="56">
        <f>G29/13168*1000</f>
        <v>1055.5893074119076</v>
      </c>
      <c r="G29" s="295">
        <v>13900</v>
      </c>
      <c r="H29" s="40" t="s">
        <v>63</v>
      </c>
      <c r="I29" s="149"/>
    </row>
    <row r="30" spans="1:9" s="10" customFormat="1" ht="30" customHeight="1">
      <c r="A30" s="296"/>
      <c r="B30" s="260" t="s">
        <v>555</v>
      </c>
      <c r="C30" s="261"/>
      <c r="D30" s="262"/>
      <c r="E30" s="263"/>
      <c r="F30" s="263"/>
      <c r="G30" s="297">
        <f>SUM(G29)</f>
        <v>13900</v>
      </c>
      <c r="H30" s="262"/>
      <c r="I30" s="149"/>
    </row>
    <row r="31" spans="1:9" ht="22.5" customHeight="1">
      <c r="A31" s="102"/>
      <c r="B31" s="103" t="s">
        <v>151</v>
      </c>
      <c r="C31" s="103"/>
      <c r="D31" s="103"/>
      <c r="E31" s="103"/>
      <c r="F31" s="103"/>
      <c r="G31" s="303"/>
      <c r="H31" s="105"/>
      <c r="I31" s="141"/>
    </row>
    <row r="32" spans="1:9" ht="22.5" customHeight="1">
      <c r="A32" s="19"/>
      <c r="B32" s="106" t="s">
        <v>152</v>
      </c>
      <c r="C32" s="107"/>
      <c r="D32" s="108" t="s">
        <v>153</v>
      </c>
      <c r="E32" s="109"/>
      <c r="F32" s="109"/>
      <c r="G32" s="304"/>
      <c r="H32" s="8"/>
      <c r="I32" s="141"/>
    </row>
    <row r="33" spans="1:9" ht="22.5" customHeight="1">
      <c r="A33" s="19"/>
      <c r="B33" s="111"/>
      <c r="C33" s="9"/>
      <c r="D33" s="112" t="s">
        <v>154</v>
      </c>
      <c r="E33" s="113" t="s">
        <v>155</v>
      </c>
      <c r="F33" s="114"/>
      <c r="G33" s="304"/>
      <c r="H33" s="8"/>
      <c r="I33" s="141"/>
    </row>
    <row r="34" spans="1:9" ht="22.5" customHeight="1">
      <c r="A34" s="19"/>
      <c r="B34" s="115" t="s">
        <v>156</v>
      </c>
      <c r="C34" s="116"/>
      <c r="D34" s="108" t="s">
        <v>157</v>
      </c>
      <c r="E34" s="109"/>
      <c r="F34" s="109"/>
      <c r="G34" s="304"/>
      <c r="H34" s="8"/>
      <c r="I34" s="141"/>
    </row>
    <row r="35" spans="1:9" ht="22.5" customHeight="1">
      <c r="A35" s="19"/>
      <c r="B35" s="111"/>
      <c r="C35" s="9"/>
      <c r="D35" s="112" t="s">
        <v>154</v>
      </c>
      <c r="E35" s="113"/>
      <c r="F35" s="114"/>
      <c r="G35" s="304"/>
      <c r="H35" s="8"/>
      <c r="I35" s="141"/>
    </row>
    <row r="36" spans="1:9" ht="22.5" customHeight="1">
      <c r="A36" s="19"/>
      <c r="B36" s="115" t="s">
        <v>158</v>
      </c>
      <c r="C36" s="9"/>
      <c r="D36" s="9"/>
      <c r="E36" s="9"/>
      <c r="F36" s="9"/>
      <c r="G36" s="304"/>
      <c r="H36" s="8"/>
      <c r="I36" s="141"/>
    </row>
    <row r="37" spans="1:9" s="2" customFormat="1" ht="30" customHeight="1">
      <c r="A37" s="169"/>
      <c r="B37" s="305" t="s">
        <v>159</v>
      </c>
      <c r="C37" s="116"/>
      <c r="D37" s="306" t="s">
        <v>160</v>
      </c>
      <c r="E37" s="306"/>
      <c r="F37" s="306"/>
      <c r="G37" s="307"/>
      <c r="H37" s="171"/>
      <c r="I37" s="191"/>
    </row>
    <row r="38" spans="1:9" ht="22.5" customHeight="1">
      <c r="A38" s="19"/>
      <c r="B38" s="119" t="s">
        <v>486</v>
      </c>
      <c r="C38" s="119"/>
      <c r="D38" s="119"/>
      <c r="E38" s="9"/>
      <c r="F38" s="9"/>
      <c r="G38" s="304"/>
      <c r="H38" s="8"/>
      <c r="I38" s="141"/>
    </row>
  </sheetData>
  <sheetProtection/>
  <mergeCells count="16">
    <mergeCell ref="F1:G1"/>
    <mergeCell ref="A2:I2"/>
    <mergeCell ref="B20:C20"/>
    <mergeCell ref="B26:C26"/>
    <mergeCell ref="B28:C28"/>
    <mergeCell ref="B30:C30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30"/>
  </mergeCells>
  <hyperlinks>
    <hyperlink ref="C13" r:id="rId1" display="20.41.3; ДК 016:2010"/>
    <hyperlink ref="C12" r:id="rId2" display="20.41.3; ДК 016:2010"/>
    <hyperlink ref="C14" r:id="rId3" display="20.30.2; ДК 016:2010"/>
    <hyperlink ref="C15" r:id="rId4" display="20.52.1; ДК 016:2010"/>
    <hyperlink ref="C16" r:id="rId5" display="22.29.2; ДК 016:2010"/>
    <hyperlink ref="C17" r:id="rId6" display="22.29.2; ДК 016:2010"/>
    <hyperlink ref="C18" r:id="rId7" display="27.40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4"/>
  <sheetViews>
    <sheetView view="pageBreakPreview" zoomScale="90" zoomScaleNormal="90" zoomScaleSheetLayoutView="90" workbookViewId="0" topLeftCell="A16">
      <selection activeCell="E28" sqref="E28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24" t="s">
        <v>556</v>
      </c>
      <c r="B2" s="24"/>
      <c r="C2" s="24"/>
      <c r="D2" s="24"/>
      <c r="E2" s="24"/>
      <c r="F2" s="24"/>
      <c r="G2" s="24"/>
      <c r="H2" s="24"/>
      <c r="I2" s="24"/>
    </row>
    <row r="3" spans="3:9" ht="15" customHeight="1">
      <c r="C3" s="124"/>
      <c r="D3" s="125" t="s">
        <v>4</v>
      </c>
      <c r="E3" s="124"/>
      <c r="F3" s="124"/>
      <c r="G3" s="3"/>
      <c r="H3" s="16"/>
      <c r="I3" s="16"/>
    </row>
    <row r="4" ht="15" customHeight="1"/>
    <row r="5" spans="1:11" ht="15.75" customHeight="1">
      <c r="A5" s="83" t="s">
        <v>5</v>
      </c>
      <c r="B5" s="27" t="s">
        <v>6</v>
      </c>
      <c r="C5" s="28" t="s">
        <v>7</v>
      </c>
      <c r="D5" s="28" t="s">
        <v>249</v>
      </c>
      <c r="E5" s="28" t="s">
        <v>9</v>
      </c>
      <c r="F5" s="28" t="s">
        <v>10</v>
      </c>
      <c r="G5" s="28" t="s">
        <v>250</v>
      </c>
      <c r="H5" s="28" t="s">
        <v>251</v>
      </c>
      <c r="I5" s="28" t="s">
        <v>13</v>
      </c>
      <c r="J5" s="71"/>
      <c r="K5" s="71"/>
    </row>
    <row r="6" spans="1:9" ht="31.5" customHeight="1">
      <c r="A6" s="84"/>
      <c r="B6" s="30"/>
      <c r="C6" s="31"/>
      <c r="D6" s="31"/>
      <c r="E6" s="31"/>
      <c r="F6" s="31"/>
      <c r="G6" s="31"/>
      <c r="H6" s="31"/>
      <c r="I6" s="31"/>
    </row>
    <row r="7" spans="1:9" ht="37.5" customHeight="1">
      <c r="A7" s="85"/>
      <c r="B7" s="33"/>
      <c r="C7" s="34"/>
      <c r="D7" s="34"/>
      <c r="E7" s="34"/>
      <c r="F7" s="34"/>
      <c r="G7" s="34"/>
      <c r="H7" s="34"/>
      <c r="I7" s="34"/>
    </row>
    <row r="8" spans="1:9" ht="15" customHeight="1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72">
        <v>9</v>
      </c>
    </row>
    <row r="9" spans="1:9" ht="30" customHeight="1">
      <c r="A9" s="37">
        <v>75</v>
      </c>
      <c r="B9" s="131" t="s">
        <v>442</v>
      </c>
      <c r="C9" s="72" t="s">
        <v>16</v>
      </c>
      <c r="D9" s="39" t="s">
        <v>537</v>
      </c>
      <c r="E9" s="72" t="s">
        <v>25</v>
      </c>
      <c r="F9" s="72">
        <v>30</v>
      </c>
      <c r="G9" s="132">
        <v>606.9</v>
      </c>
      <c r="H9" s="133" t="s">
        <v>63</v>
      </c>
      <c r="I9" s="73" t="s">
        <v>253</v>
      </c>
    </row>
    <row r="10" spans="1:9" ht="30" customHeight="1">
      <c r="A10" s="32">
        <v>76</v>
      </c>
      <c r="B10" s="134" t="s">
        <v>557</v>
      </c>
      <c r="C10" s="34" t="s">
        <v>171</v>
      </c>
      <c r="D10" s="43" t="s">
        <v>537</v>
      </c>
      <c r="E10" s="34" t="s">
        <v>25</v>
      </c>
      <c r="F10" s="34">
        <v>14</v>
      </c>
      <c r="G10" s="135">
        <v>266.28</v>
      </c>
      <c r="H10" s="136" t="s">
        <v>63</v>
      </c>
      <c r="I10" s="100"/>
    </row>
    <row r="11" spans="1:13" ht="31.5" customHeight="1">
      <c r="A11" s="37">
        <v>77</v>
      </c>
      <c r="B11" s="38" t="s">
        <v>558</v>
      </c>
      <c r="C11" s="40" t="s">
        <v>27</v>
      </c>
      <c r="D11" s="40" t="s">
        <v>537</v>
      </c>
      <c r="E11" s="41" t="s">
        <v>25</v>
      </c>
      <c r="F11" s="41">
        <v>15</v>
      </c>
      <c r="G11" s="295">
        <v>890.25</v>
      </c>
      <c r="H11" s="136" t="s">
        <v>63</v>
      </c>
      <c r="I11" s="100"/>
      <c r="L11" s="74"/>
      <c r="M11" s="74">
        <f>G11-K11</f>
        <v>890.25</v>
      </c>
    </row>
    <row r="12" spans="1:12" ht="45" customHeight="1">
      <c r="A12" s="37">
        <v>78</v>
      </c>
      <c r="B12" s="99" t="s">
        <v>559</v>
      </c>
      <c r="C12" s="137" t="s">
        <v>544</v>
      </c>
      <c r="D12" s="40" t="s">
        <v>537</v>
      </c>
      <c r="E12" s="138" t="s">
        <v>18</v>
      </c>
      <c r="F12" s="138">
        <v>6</v>
      </c>
      <c r="G12" s="272">
        <v>3024</v>
      </c>
      <c r="H12" s="136" t="s">
        <v>63</v>
      </c>
      <c r="I12" s="100"/>
      <c r="L12" s="74"/>
    </row>
    <row r="13" spans="1:12" ht="30" customHeight="1">
      <c r="A13" s="37">
        <v>79</v>
      </c>
      <c r="B13" s="38" t="s">
        <v>560</v>
      </c>
      <c r="C13" s="43" t="s">
        <v>179</v>
      </c>
      <c r="D13" s="40" t="s">
        <v>537</v>
      </c>
      <c r="E13" s="41" t="s">
        <v>25</v>
      </c>
      <c r="F13" s="41">
        <v>20</v>
      </c>
      <c r="G13" s="295">
        <v>310.4</v>
      </c>
      <c r="H13" s="136" t="s">
        <v>63</v>
      </c>
      <c r="I13" s="100"/>
      <c r="L13" s="74"/>
    </row>
    <row r="14" spans="1:12" ht="60" customHeight="1">
      <c r="A14" s="37">
        <v>80</v>
      </c>
      <c r="B14" s="140" t="s">
        <v>561</v>
      </c>
      <c r="C14" s="43" t="s">
        <v>47</v>
      </c>
      <c r="D14" s="40" t="s">
        <v>537</v>
      </c>
      <c r="E14" s="41" t="s">
        <v>48</v>
      </c>
      <c r="F14" s="41">
        <v>9</v>
      </c>
      <c r="G14" s="295">
        <v>495</v>
      </c>
      <c r="H14" s="136" t="s">
        <v>63</v>
      </c>
      <c r="I14" s="100"/>
      <c r="L14" s="74">
        <f>G14-K14</f>
        <v>495</v>
      </c>
    </row>
    <row r="15" spans="1:9" s="5" customFormat="1" ht="30" customHeight="1">
      <c r="A15" s="37">
        <v>81</v>
      </c>
      <c r="B15" s="38" t="s">
        <v>562</v>
      </c>
      <c r="C15" s="40" t="s">
        <v>16</v>
      </c>
      <c r="D15" s="40" t="s">
        <v>537</v>
      </c>
      <c r="E15" s="41" t="s">
        <v>25</v>
      </c>
      <c r="F15" s="56">
        <v>200</v>
      </c>
      <c r="G15" s="42">
        <v>3000</v>
      </c>
      <c r="H15" s="136" t="s">
        <v>63</v>
      </c>
      <c r="I15" s="100"/>
    </row>
    <row r="16" spans="1:9" s="5" customFormat="1" ht="30" customHeight="1">
      <c r="A16" s="37">
        <v>82</v>
      </c>
      <c r="B16" s="38" t="s">
        <v>563</v>
      </c>
      <c r="C16" s="40" t="s">
        <v>16</v>
      </c>
      <c r="D16" s="40" t="s">
        <v>537</v>
      </c>
      <c r="E16" s="41" t="s">
        <v>18</v>
      </c>
      <c r="F16" s="56">
        <v>13</v>
      </c>
      <c r="G16" s="42">
        <v>2730</v>
      </c>
      <c r="H16" s="136" t="s">
        <v>63</v>
      </c>
      <c r="I16" s="100"/>
    </row>
    <row r="17" spans="1:9" s="5" customFormat="1" ht="30" customHeight="1">
      <c r="A17" s="37">
        <v>83</v>
      </c>
      <c r="B17" s="38" t="s">
        <v>564</v>
      </c>
      <c r="C17" s="40" t="s">
        <v>565</v>
      </c>
      <c r="D17" s="40" t="s">
        <v>537</v>
      </c>
      <c r="E17" s="41" t="s">
        <v>25</v>
      </c>
      <c r="F17" s="56">
        <v>6</v>
      </c>
      <c r="G17" s="42">
        <v>250.98</v>
      </c>
      <c r="H17" s="136" t="s">
        <v>63</v>
      </c>
      <c r="I17" s="100"/>
    </row>
    <row r="18" spans="1:9" s="5" customFormat="1" ht="30" customHeight="1">
      <c r="A18" s="37">
        <v>84</v>
      </c>
      <c r="B18" s="38" t="s">
        <v>566</v>
      </c>
      <c r="C18" s="40" t="s">
        <v>42</v>
      </c>
      <c r="D18" s="40" t="s">
        <v>537</v>
      </c>
      <c r="E18" s="41" t="s">
        <v>25</v>
      </c>
      <c r="F18" s="56">
        <v>15</v>
      </c>
      <c r="G18" s="42">
        <v>635.7</v>
      </c>
      <c r="H18" s="136" t="s">
        <v>63</v>
      </c>
      <c r="I18" s="100"/>
    </row>
    <row r="19" spans="1:9" s="5" customFormat="1" ht="60" customHeight="1">
      <c r="A19" s="37">
        <v>85</v>
      </c>
      <c r="B19" s="38" t="s">
        <v>449</v>
      </c>
      <c r="C19" s="40" t="s">
        <v>21</v>
      </c>
      <c r="D19" s="40" t="s">
        <v>537</v>
      </c>
      <c r="E19" s="41" t="s">
        <v>25</v>
      </c>
      <c r="F19" s="56">
        <v>11</v>
      </c>
      <c r="G19" s="42">
        <v>272.47</v>
      </c>
      <c r="H19" s="136" t="s">
        <v>63</v>
      </c>
      <c r="I19" s="100"/>
    </row>
    <row r="20" spans="1:9" s="5" customFormat="1" ht="30" customHeight="1">
      <c r="A20" s="37">
        <v>86</v>
      </c>
      <c r="B20" s="38" t="s">
        <v>418</v>
      </c>
      <c r="C20" s="40" t="s">
        <v>171</v>
      </c>
      <c r="D20" s="40" t="s">
        <v>537</v>
      </c>
      <c r="E20" s="41" t="s">
        <v>25</v>
      </c>
      <c r="F20" s="56">
        <v>15</v>
      </c>
      <c r="G20" s="42">
        <v>793.95</v>
      </c>
      <c r="H20" s="136" t="s">
        <v>63</v>
      </c>
      <c r="I20" s="100"/>
    </row>
    <row r="21" spans="1:9" s="5" customFormat="1" ht="30" customHeight="1">
      <c r="A21" s="37">
        <v>87</v>
      </c>
      <c r="B21" s="38" t="s">
        <v>351</v>
      </c>
      <c r="C21" s="40" t="s">
        <v>31</v>
      </c>
      <c r="D21" s="40" t="s">
        <v>567</v>
      </c>
      <c r="E21" s="41" t="s">
        <v>22</v>
      </c>
      <c r="F21" s="56">
        <v>8</v>
      </c>
      <c r="G21" s="42">
        <v>210.08</v>
      </c>
      <c r="H21" s="136" t="s">
        <v>63</v>
      </c>
      <c r="I21" s="100"/>
    </row>
    <row r="22" spans="1:9" s="5" customFormat="1" ht="30" customHeight="1">
      <c r="A22" s="37">
        <v>88</v>
      </c>
      <c r="B22" s="38" t="s">
        <v>568</v>
      </c>
      <c r="C22" s="40" t="s">
        <v>36</v>
      </c>
      <c r="D22" s="40" t="s">
        <v>537</v>
      </c>
      <c r="E22" s="41" t="s">
        <v>25</v>
      </c>
      <c r="F22" s="56">
        <v>2</v>
      </c>
      <c r="G22" s="42">
        <v>1092.64</v>
      </c>
      <c r="H22" s="136" t="s">
        <v>63</v>
      </c>
      <c r="I22" s="100"/>
    </row>
    <row r="23" spans="1:9" s="5" customFormat="1" ht="30" customHeight="1">
      <c r="A23" s="37">
        <v>89</v>
      </c>
      <c r="B23" s="38" t="s">
        <v>569</v>
      </c>
      <c r="C23" s="40" t="s">
        <v>36</v>
      </c>
      <c r="D23" s="40" t="s">
        <v>537</v>
      </c>
      <c r="E23" s="41" t="s">
        <v>25</v>
      </c>
      <c r="F23" s="56">
        <v>2</v>
      </c>
      <c r="G23" s="42">
        <v>385.26</v>
      </c>
      <c r="H23" s="136" t="s">
        <v>63</v>
      </c>
      <c r="I23" s="100"/>
    </row>
    <row r="24" spans="1:9" s="5" customFormat="1" ht="30" customHeight="1">
      <c r="A24" s="37">
        <v>90</v>
      </c>
      <c r="B24" s="38" t="s">
        <v>335</v>
      </c>
      <c r="C24" s="40" t="s">
        <v>260</v>
      </c>
      <c r="D24" s="40" t="s">
        <v>537</v>
      </c>
      <c r="E24" s="41" t="s">
        <v>25</v>
      </c>
      <c r="F24" s="56">
        <v>2</v>
      </c>
      <c r="G24" s="42">
        <v>7000</v>
      </c>
      <c r="H24" s="136" t="s">
        <v>63</v>
      </c>
      <c r="I24" s="100"/>
    </row>
    <row r="25" spans="1:9" s="5" customFormat="1" ht="30" customHeight="1">
      <c r="A25" s="37">
        <v>91</v>
      </c>
      <c r="B25" s="38" t="s">
        <v>570</v>
      </c>
      <c r="C25" s="40" t="s">
        <v>36</v>
      </c>
      <c r="D25" s="40" t="s">
        <v>537</v>
      </c>
      <c r="E25" s="41" t="s">
        <v>25</v>
      </c>
      <c r="F25" s="56">
        <v>1</v>
      </c>
      <c r="G25" s="42">
        <v>1650.55</v>
      </c>
      <c r="H25" s="136" t="s">
        <v>63</v>
      </c>
      <c r="I25" s="100"/>
    </row>
    <row r="26" spans="1:9" s="5" customFormat="1" ht="30" customHeight="1">
      <c r="A26" s="37">
        <v>92</v>
      </c>
      <c r="B26" s="38" t="s">
        <v>571</v>
      </c>
      <c r="C26" s="40" t="s">
        <v>179</v>
      </c>
      <c r="D26" s="40" t="s">
        <v>537</v>
      </c>
      <c r="E26" s="41" t="s">
        <v>25</v>
      </c>
      <c r="F26" s="56">
        <v>4</v>
      </c>
      <c r="G26" s="42">
        <v>491.92</v>
      </c>
      <c r="H26" s="136" t="s">
        <v>63</v>
      </c>
      <c r="I26" s="100"/>
    </row>
    <row r="27" spans="1:9" s="5" customFormat="1" ht="30" customHeight="1">
      <c r="A27" s="37">
        <v>93</v>
      </c>
      <c r="B27" s="38" t="s">
        <v>572</v>
      </c>
      <c r="C27" s="40" t="s">
        <v>573</v>
      </c>
      <c r="D27" s="40" t="s">
        <v>537</v>
      </c>
      <c r="E27" s="41" t="s">
        <v>22</v>
      </c>
      <c r="F27" s="56">
        <v>4</v>
      </c>
      <c r="G27" s="42">
        <v>68</v>
      </c>
      <c r="H27" s="136" t="s">
        <v>63</v>
      </c>
      <c r="I27" s="100"/>
    </row>
    <row r="28" spans="1:9" s="5" customFormat="1" ht="45" customHeight="1">
      <c r="A28" s="37">
        <v>94</v>
      </c>
      <c r="B28" s="38" t="s">
        <v>574</v>
      </c>
      <c r="C28" s="40" t="s">
        <v>391</v>
      </c>
      <c r="D28" s="40" t="s">
        <v>537</v>
      </c>
      <c r="E28" s="41" t="s">
        <v>25</v>
      </c>
      <c r="F28" s="56">
        <v>2</v>
      </c>
      <c r="G28" s="42">
        <v>534.02</v>
      </c>
      <c r="H28" s="136" t="s">
        <v>63</v>
      </c>
      <c r="I28" s="100"/>
    </row>
    <row r="29" spans="1:9" s="5" customFormat="1" ht="30" customHeight="1">
      <c r="A29" s="37">
        <v>95</v>
      </c>
      <c r="B29" s="38" t="s">
        <v>575</v>
      </c>
      <c r="C29" s="40" t="s">
        <v>576</v>
      </c>
      <c r="D29" s="40" t="s">
        <v>537</v>
      </c>
      <c r="E29" s="41" t="s">
        <v>22</v>
      </c>
      <c r="F29" s="56">
        <v>10</v>
      </c>
      <c r="G29" s="42">
        <v>1308.3</v>
      </c>
      <c r="H29" s="136" t="s">
        <v>63</v>
      </c>
      <c r="I29" s="100"/>
    </row>
    <row r="30" spans="1:9" s="5" customFormat="1" ht="45" customHeight="1">
      <c r="A30" s="37">
        <v>96</v>
      </c>
      <c r="B30" s="38" t="s">
        <v>577</v>
      </c>
      <c r="C30" s="40" t="s">
        <v>168</v>
      </c>
      <c r="D30" s="40" t="s">
        <v>537</v>
      </c>
      <c r="E30" s="41" t="s">
        <v>313</v>
      </c>
      <c r="F30" s="56">
        <v>20</v>
      </c>
      <c r="G30" s="42">
        <v>1000</v>
      </c>
      <c r="H30" s="136" t="s">
        <v>63</v>
      </c>
      <c r="I30" s="100"/>
    </row>
    <row r="31" spans="1:13" ht="45" customHeight="1">
      <c r="A31" s="37">
        <v>97</v>
      </c>
      <c r="B31" s="38" t="s">
        <v>410</v>
      </c>
      <c r="C31" s="40" t="s">
        <v>52</v>
      </c>
      <c r="D31" s="40" t="s">
        <v>537</v>
      </c>
      <c r="E31" s="41" t="s">
        <v>25</v>
      </c>
      <c r="F31" s="41">
        <v>30</v>
      </c>
      <c r="G31" s="295">
        <v>597.3</v>
      </c>
      <c r="H31" s="136" t="s">
        <v>63</v>
      </c>
      <c r="I31" s="100"/>
      <c r="L31" s="74"/>
      <c r="M31" s="74">
        <f>G31-K31</f>
        <v>597.3</v>
      </c>
    </row>
    <row r="32" spans="1:14" s="10" customFormat="1" ht="30" customHeight="1">
      <c r="A32" s="296"/>
      <c r="B32" s="260" t="s">
        <v>545</v>
      </c>
      <c r="C32" s="261"/>
      <c r="D32" s="262"/>
      <c r="E32" s="263"/>
      <c r="F32" s="263"/>
      <c r="G32" s="297">
        <f>SUM(G9:G31)</f>
        <v>27613.999999999996</v>
      </c>
      <c r="H32" s="265"/>
      <c r="I32" s="100"/>
      <c r="K32" s="267">
        <f>SUM(K9:K31)</f>
        <v>0</v>
      </c>
      <c r="L32" s="267"/>
      <c r="M32" s="267">
        <f>SUM(M9:M31)</f>
        <v>1487.55</v>
      </c>
      <c r="N32" s="267"/>
    </row>
    <row r="33" spans="1:13" ht="32.25" customHeight="1">
      <c r="A33" s="37">
        <v>98</v>
      </c>
      <c r="B33" s="38" t="s">
        <v>235</v>
      </c>
      <c r="C33" s="40" t="s">
        <v>116</v>
      </c>
      <c r="D33" s="40" t="s">
        <v>546</v>
      </c>
      <c r="E33" s="41" t="s">
        <v>113</v>
      </c>
      <c r="F33" s="50" t="s">
        <v>117</v>
      </c>
      <c r="G33" s="295">
        <v>492</v>
      </c>
      <c r="H33" s="40" t="s">
        <v>63</v>
      </c>
      <c r="I33" s="100"/>
      <c r="K33" s="12">
        <f>154</f>
        <v>154</v>
      </c>
      <c r="L33" s="74">
        <f aca="true" t="shared" si="0" ref="L33:L38">G33-K33</f>
        <v>338</v>
      </c>
      <c r="M33" s="74"/>
    </row>
    <row r="34" spans="1:13" ht="32.25" customHeight="1">
      <c r="A34" s="37">
        <v>99</v>
      </c>
      <c r="B34" s="38" t="s">
        <v>433</v>
      </c>
      <c r="C34" s="40" t="s">
        <v>234</v>
      </c>
      <c r="D34" s="40" t="s">
        <v>546</v>
      </c>
      <c r="E34" s="41" t="s">
        <v>113</v>
      </c>
      <c r="F34" s="50" t="s">
        <v>117</v>
      </c>
      <c r="G34" s="295">
        <v>780</v>
      </c>
      <c r="H34" s="40" t="s">
        <v>63</v>
      </c>
      <c r="I34" s="100"/>
      <c r="K34" s="12">
        <f>260</f>
        <v>260</v>
      </c>
      <c r="L34" s="74">
        <f t="shared" si="0"/>
        <v>520</v>
      </c>
      <c r="M34" s="74"/>
    </row>
    <row r="35" spans="1:13" ht="47.25" customHeight="1">
      <c r="A35" s="37">
        <v>100</v>
      </c>
      <c r="B35" s="38" t="s">
        <v>236</v>
      </c>
      <c r="C35" s="40" t="s">
        <v>119</v>
      </c>
      <c r="D35" s="40" t="s">
        <v>546</v>
      </c>
      <c r="E35" s="41" t="s">
        <v>120</v>
      </c>
      <c r="F35" s="41" t="s">
        <v>121</v>
      </c>
      <c r="G35" s="295">
        <v>2378</v>
      </c>
      <c r="H35" s="40" t="s">
        <v>63</v>
      </c>
      <c r="I35" s="100"/>
      <c r="K35" s="12">
        <f>608.5</f>
        <v>608.5</v>
      </c>
      <c r="L35" s="74">
        <f t="shared" si="0"/>
        <v>1769.5</v>
      </c>
      <c r="M35" s="74"/>
    </row>
    <row r="36" spans="1:13" ht="32.25" customHeight="1">
      <c r="A36" s="37">
        <v>101</v>
      </c>
      <c r="B36" s="38" t="s">
        <v>130</v>
      </c>
      <c r="C36" s="40" t="s">
        <v>131</v>
      </c>
      <c r="D36" s="40" t="s">
        <v>546</v>
      </c>
      <c r="E36" s="41" t="s">
        <v>25</v>
      </c>
      <c r="F36" s="41">
        <v>1</v>
      </c>
      <c r="G36" s="295">
        <v>280</v>
      </c>
      <c r="H36" s="40" t="s">
        <v>63</v>
      </c>
      <c r="I36" s="100"/>
      <c r="K36" s="12">
        <v>560</v>
      </c>
      <c r="L36" s="74">
        <f t="shared" si="0"/>
        <v>-280</v>
      </c>
      <c r="M36" s="74"/>
    </row>
    <row r="37" spans="1:13" ht="31.5" customHeight="1">
      <c r="A37" s="37">
        <v>102</v>
      </c>
      <c r="B37" s="38" t="s">
        <v>130</v>
      </c>
      <c r="C37" s="40" t="s">
        <v>131</v>
      </c>
      <c r="D37" s="40" t="s">
        <v>546</v>
      </c>
      <c r="E37" s="41" t="s">
        <v>25</v>
      </c>
      <c r="F37" s="41">
        <v>1</v>
      </c>
      <c r="G37" s="295">
        <v>280</v>
      </c>
      <c r="H37" s="40" t="s">
        <v>19</v>
      </c>
      <c r="I37" s="100"/>
      <c r="L37" s="74">
        <f t="shared" si="0"/>
        <v>280</v>
      </c>
      <c r="M37" s="74"/>
    </row>
    <row r="38" spans="1:13" ht="29.25" customHeight="1">
      <c r="A38" s="37">
        <v>103</v>
      </c>
      <c r="B38" s="38" t="s">
        <v>130</v>
      </c>
      <c r="C38" s="40" t="s">
        <v>131</v>
      </c>
      <c r="D38" s="40" t="s">
        <v>546</v>
      </c>
      <c r="E38" s="41" t="s">
        <v>25</v>
      </c>
      <c r="F38" s="41">
        <v>1</v>
      </c>
      <c r="G38" s="295">
        <v>280</v>
      </c>
      <c r="H38" s="40" t="s">
        <v>132</v>
      </c>
      <c r="I38" s="100"/>
      <c r="L38" s="74">
        <f t="shared" si="0"/>
        <v>280</v>
      </c>
      <c r="M38" s="74"/>
    </row>
    <row r="39" spans="1:12" s="10" customFormat="1" ht="30" customHeight="1">
      <c r="A39" s="296"/>
      <c r="B39" s="260" t="s">
        <v>549</v>
      </c>
      <c r="C39" s="261"/>
      <c r="D39" s="262"/>
      <c r="E39" s="263"/>
      <c r="F39" s="263"/>
      <c r="G39" s="297">
        <f>SUM(G33:G38)</f>
        <v>4490</v>
      </c>
      <c r="H39" s="262"/>
      <c r="I39" s="100"/>
      <c r="K39" s="10">
        <f>SUM(K33:K38)</f>
        <v>1582.5</v>
      </c>
      <c r="L39" s="267"/>
    </row>
    <row r="40" spans="1:9" ht="33.75" customHeight="1">
      <c r="A40" s="37">
        <v>104</v>
      </c>
      <c r="B40" s="38" t="s">
        <v>137</v>
      </c>
      <c r="C40" s="52" t="s">
        <v>138</v>
      </c>
      <c r="D40" s="40" t="s">
        <v>578</v>
      </c>
      <c r="E40" s="41" t="s">
        <v>579</v>
      </c>
      <c r="F40" s="69">
        <f>G40/2878.75</f>
        <v>35.848892748588796</v>
      </c>
      <c r="G40" s="295">
        <v>103200</v>
      </c>
      <c r="H40" s="40" t="s">
        <v>63</v>
      </c>
      <c r="I40" s="100"/>
    </row>
    <row r="41" spans="1:12" s="10" customFormat="1" ht="30" customHeight="1">
      <c r="A41" s="296"/>
      <c r="B41" s="260" t="s">
        <v>580</v>
      </c>
      <c r="C41" s="261"/>
      <c r="D41" s="262"/>
      <c r="E41" s="263"/>
      <c r="F41" s="263"/>
      <c r="G41" s="297">
        <f>G40</f>
        <v>103200</v>
      </c>
      <c r="H41" s="262"/>
      <c r="I41" s="100"/>
      <c r="L41" s="267"/>
    </row>
    <row r="42" spans="1:9" ht="28.5" customHeight="1">
      <c r="A42" s="37">
        <v>105</v>
      </c>
      <c r="B42" s="38" t="s">
        <v>485</v>
      </c>
      <c r="C42" s="54" t="s">
        <v>245</v>
      </c>
      <c r="D42" s="40" t="s">
        <v>581</v>
      </c>
      <c r="E42" s="41" t="s">
        <v>110</v>
      </c>
      <c r="F42" s="53">
        <v>26.54</v>
      </c>
      <c r="G42" s="295">
        <v>337.53</v>
      </c>
      <c r="H42" s="40" t="s">
        <v>63</v>
      </c>
      <c r="I42" s="100"/>
    </row>
    <row r="43" spans="1:9" ht="28.5" customHeight="1">
      <c r="A43" s="37">
        <v>106</v>
      </c>
      <c r="B43" s="38" t="s">
        <v>517</v>
      </c>
      <c r="C43" s="55" t="s">
        <v>518</v>
      </c>
      <c r="D43" s="40" t="s">
        <v>581</v>
      </c>
      <c r="E43" s="41" t="s">
        <v>110</v>
      </c>
      <c r="F43" s="53">
        <v>26.54</v>
      </c>
      <c r="G43" s="295">
        <v>362.47</v>
      </c>
      <c r="H43" s="40" t="s">
        <v>63</v>
      </c>
      <c r="I43" s="100"/>
    </row>
    <row r="44" spans="1:9" s="10" customFormat="1" ht="30" customHeight="1">
      <c r="A44" s="296"/>
      <c r="B44" s="260" t="s">
        <v>582</v>
      </c>
      <c r="C44" s="261"/>
      <c r="D44" s="262"/>
      <c r="E44" s="263"/>
      <c r="F44" s="263"/>
      <c r="G44" s="297">
        <f>SUM(G42:G43)</f>
        <v>700</v>
      </c>
      <c r="H44" s="262"/>
      <c r="I44" s="100"/>
    </row>
    <row r="45" spans="1:11" ht="31.5" customHeight="1">
      <c r="A45" s="37">
        <v>107</v>
      </c>
      <c r="B45" s="38" t="s">
        <v>142</v>
      </c>
      <c r="C45" s="54" t="s">
        <v>143</v>
      </c>
      <c r="D45" s="40" t="s">
        <v>550</v>
      </c>
      <c r="E45" s="41" t="s">
        <v>145</v>
      </c>
      <c r="F45" s="56">
        <f>G45/4.143</f>
        <v>2667.1494086410817</v>
      </c>
      <c r="G45" s="295">
        <v>11050</v>
      </c>
      <c r="H45" s="40" t="s">
        <v>63</v>
      </c>
      <c r="I45" s="100"/>
      <c r="K45" s="12">
        <f>5110.25</f>
        <v>5110.25</v>
      </c>
    </row>
    <row r="46" spans="1:9" s="10" customFormat="1" ht="30" customHeight="1">
      <c r="A46" s="296"/>
      <c r="B46" s="260" t="s">
        <v>551</v>
      </c>
      <c r="C46" s="261"/>
      <c r="D46" s="262"/>
      <c r="E46" s="263"/>
      <c r="F46" s="263"/>
      <c r="G46" s="297">
        <f>G45</f>
        <v>11050</v>
      </c>
      <c r="H46" s="262"/>
      <c r="I46" s="100"/>
    </row>
    <row r="47" spans="1:9" ht="22.5" customHeight="1">
      <c r="A47" s="102"/>
      <c r="B47" s="103" t="s">
        <v>151</v>
      </c>
      <c r="C47" s="103"/>
      <c r="D47" s="103"/>
      <c r="E47" s="103"/>
      <c r="F47" s="103"/>
      <c r="G47" s="303"/>
      <c r="H47" s="105"/>
      <c r="I47" s="141"/>
    </row>
    <row r="48" spans="1:9" ht="22.5" customHeight="1">
      <c r="A48" s="19"/>
      <c r="B48" s="106" t="s">
        <v>152</v>
      </c>
      <c r="C48" s="107"/>
      <c r="D48" s="108" t="s">
        <v>153</v>
      </c>
      <c r="E48" s="109"/>
      <c r="F48" s="109"/>
      <c r="G48" s="304"/>
      <c r="H48" s="8"/>
      <c r="I48" s="141"/>
    </row>
    <row r="49" spans="1:9" ht="22.5" customHeight="1">
      <c r="A49" s="19"/>
      <c r="B49" s="111"/>
      <c r="C49" s="9"/>
      <c r="D49" s="112" t="s">
        <v>154</v>
      </c>
      <c r="E49" s="113" t="s">
        <v>155</v>
      </c>
      <c r="F49" s="114"/>
      <c r="G49" s="304"/>
      <c r="H49" s="8"/>
      <c r="I49" s="141"/>
    </row>
    <row r="50" spans="1:9" ht="22.5" customHeight="1">
      <c r="A50" s="19"/>
      <c r="B50" s="115" t="s">
        <v>156</v>
      </c>
      <c r="C50" s="116"/>
      <c r="D50" s="108" t="s">
        <v>157</v>
      </c>
      <c r="E50" s="109"/>
      <c r="F50" s="109"/>
      <c r="G50" s="304"/>
      <c r="H50" s="8"/>
      <c r="I50" s="141"/>
    </row>
    <row r="51" spans="1:9" ht="22.5" customHeight="1">
      <c r="A51" s="19"/>
      <c r="B51" s="111"/>
      <c r="C51" s="9"/>
      <c r="D51" s="112" t="s">
        <v>154</v>
      </c>
      <c r="E51" s="113"/>
      <c r="F51" s="114"/>
      <c r="G51" s="304"/>
      <c r="H51" s="8"/>
      <c r="I51" s="141"/>
    </row>
    <row r="52" spans="1:9" s="2" customFormat="1" ht="22.5" customHeight="1">
      <c r="A52" s="169"/>
      <c r="B52" s="115" t="s">
        <v>158</v>
      </c>
      <c r="C52" s="116"/>
      <c r="D52" s="116"/>
      <c r="E52" s="116"/>
      <c r="F52" s="116"/>
      <c r="G52" s="307"/>
      <c r="H52" s="171"/>
      <c r="I52" s="191"/>
    </row>
    <row r="53" spans="1:9" s="2" customFormat="1" ht="30" customHeight="1">
      <c r="A53" s="169"/>
      <c r="B53" s="305" t="s">
        <v>159</v>
      </c>
      <c r="C53" s="116"/>
      <c r="D53" s="306" t="s">
        <v>160</v>
      </c>
      <c r="E53" s="306"/>
      <c r="F53" s="306"/>
      <c r="G53" s="307"/>
      <c r="H53" s="171"/>
      <c r="I53" s="191"/>
    </row>
    <row r="54" spans="1:9" ht="22.5" customHeight="1">
      <c r="A54" s="19"/>
      <c r="B54" s="119" t="s">
        <v>486</v>
      </c>
      <c r="C54" s="119"/>
      <c r="D54" s="119"/>
      <c r="E54" s="9"/>
      <c r="F54" s="9"/>
      <c r="G54" s="304"/>
      <c r="H54" s="8"/>
      <c r="I54" s="141"/>
    </row>
  </sheetData>
  <sheetProtection/>
  <mergeCells count="17">
    <mergeCell ref="F1:G1"/>
    <mergeCell ref="A2:I2"/>
    <mergeCell ref="B32:C32"/>
    <mergeCell ref="B39:C39"/>
    <mergeCell ref="B41:C41"/>
    <mergeCell ref="B44:C44"/>
    <mergeCell ref="B46:C4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46"/>
  </mergeCells>
  <hyperlinks>
    <hyperlink ref="C11" r:id="rId1" display="20.41.3; ДК 016:2010"/>
    <hyperlink ref="C31" r:id="rId2" display="27.40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47"/>
  <sheetViews>
    <sheetView view="pageBreakPreview" zoomScale="90" zoomScaleNormal="90" zoomScaleSheetLayoutView="90" workbookViewId="0" topLeftCell="A1">
      <selection activeCell="G46" sqref="G46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24" t="s">
        <v>583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2.5" customHeight="1">
      <c r="A3" s="25" t="s">
        <v>584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17" t="s">
        <v>4</v>
      </c>
      <c r="B4" s="5"/>
      <c r="C4" s="5"/>
      <c r="D4" s="5"/>
      <c r="E4" s="5"/>
      <c r="F4" s="5"/>
      <c r="G4" s="5"/>
      <c r="H4" s="5"/>
      <c r="I4" s="5"/>
    </row>
    <row r="5" ht="15" customHeight="1"/>
    <row r="6" spans="1:11" ht="15.75" customHeight="1">
      <c r="A6" s="83" t="s">
        <v>5</v>
      </c>
      <c r="B6" s="27" t="s">
        <v>6</v>
      </c>
      <c r="C6" s="28" t="s">
        <v>7</v>
      </c>
      <c r="D6" s="63" t="s">
        <v>8</v>
      </c>
      <c r="E6" s="28" t="s">
        <v>9</v>
      </c>
      <c r="F6" s="90" t="s">
        <v>10</v>
      </c>
      <c r="G6" s="63" t="s">
        <v>11</v>
      </c>
      <c r="H6" s="63" t="s">
        <v>12</v>
      </c>
      <c r="I6" s="63" t="s">
        <v>13</v>
      </c>
      <c r="J6" s="71"/>
      <c r="K6" s="71"/>
    </row>
    <row r="7" spans="1:9" ht="31.5" customHeight="1">
      <c r="A7" s="84"/>
      <c r="B7" s="30"/>
      <c r="C7" s="31"/>
      <c r="D7" s="65"/>
      <c r="E7" s="31"/>
      <c r="F7" s="91"/>
      <c r="G7" s="65"/>
      <c r="H7" s="65"/>
      <c r="I7" s="65"/>
    </row>
    <row r="8" spans="1:9" ht="37.5" customHeight="1">
      <c r="A8" s="85"/>
      <c r="B8" s="33"/>
      <c r="C8" s="34"/>
      <c r="D8" s="67"/>
      <c r="E8" s="34"/>
      <c r="F8" s="92"/>
      <c r="G8" s="67"/>
      <c r="H8" s="67"/>
      <c r="I8" s="67"/>
    </row>
    <row r="9" spans="1:9" ht="14.25" customHeight="1">
      <c r="A9" s="32">
        <v>1</v>
      </c>
      <c r="B9" s="33">
        <v>2</v>
      </c>
      <c r="C9" s="34">
        <v>3</v>
      </c>
      <c r="D9" s="67">
        <v>4</v>
      </c>
      <c r="E9" s="34">
        <v>5</v>
      </c>
      <c r="F9" s="34">
        <v>6</v>
      </c>
      <c r="G9" s="67">
        <v>7</v>
      </c>
      <c r="H9" s="67">
        <v>8</v>
      </c>
      <c r="I9" s="76">
        <v>9</v>
      </c>
    </row>
    <row r="10" spans="1:13" ht="32.25" customHeight="1">
      <c r="A10" s="37">
        <v>50</v>
      </c>
      <c r="B10" s="93" t="s">
        <v>585</v>
      </c>
      <c r="C10" s="39" t="s">
        <v>586</v>
      </c>
      <c r="D10" s="40" t="s">
        <v>587</v>
      </c>
      <c r="E10" s="41" t="s">
        <v>313</v>
      </c>
      <c r="F10" s="41">
        <v>6650</v>
      </c>
      <c r="G10" s="295">
        <v>359100</v>
      </c>
      <c r="H10" s="40" t="s">
        <v>63</v>
      </c>
      <c r="I10" s="73" t="s">
        <v>253</v>
      </c>
      <c r="J10" s="12">
        <f>1340+1920</f>
        <v>3260</v>
      </c>
      <c r="K10" s="12">
        <f>67000+96000</f>
        <v>163000</v>
      </c>
      <c r="L10" s="74">
        <f>F10-J10</f>
        <v>3390</v>
      </c>
      <c r="M10" s="74">
        <f>G10-K10</f>
        <v>196100</v>
      </c>
    </row>
    <row r="11" spans="1:13" ht="32.25" customHeight="1">
      <c r="A11" s="37">
        <v>51</v>
      </c>
      <c r="B11" s="93" t="s">
        <v>588</v>
      </c>
      <c r="C11" s="43" t="s">
        <v>586</v>
      </c>
      <c r="D11" s="40" t="s">
        <v>587</v>
      </c>
      <c r="E11" s="41" t="s">
        <v>313</v>
      </c>
      <c r="F11" s="41">
        <v>1220</v>
      </c>
      <c r="G11" s="295">
        <v>62220</v>
      </c>
      <c r="H11" s="40" t="s">
        <v>63</v>
      </c>
      <c r="I11" s="100"/>
      <c r="J11" s="12">
        <f>1340+1920</f>
        <v>3260</v>
      </c>
      <c r="K11" s="12">
        <f>67000+96000</f>
        <v>163000</v>
      </c>
      <c r="L11" s="74">
        <f>F11-J11</f>
        <v>-2040</v>
      </c>
      <c r="M11" s="74">
        <f>G11-K11</f>
        <v>-100780</v>
      </c>
    </row>
    <row r="12" spans="1:12" ht="29.25" customHeight="1">
      <c r="A12" s="37">
        <v>52</v>
      </c>
      <c r="B12" s="94" t="s">
        <v>23</v>
      </c>
      <c r="C12" s="94" t="s">
        <v>24</v>
      </c>
      <c r="D12" s="40" t="s">
        <v>587</v>
      </c>
      <c r="E12" s="41" t="s">
        <v>25</v>
      </c>
      <c r="F12" s="41">
        <v>1</v>
      </c>
      <c r="G12" s="295">
        <v>174.64</v>
      </c>
      <c r="H12" s="40" t="s">
        <v>19</v>
      </c>
      <c r="I12" s="100"/>
      <c r="L12" s="74"/>
    </row>
    <row r="13" spans="1:12" ht="30" customHeight="1">
      <c r="A13" s="37">
        <v>53</v>
      </c>
      <c r="B13" s="38" t="s">
        <v>589</v>
      </c>
      <c r="C13" s="43" t="s">
        <v>24</v>
      </c>
      <c r="D13" s="40" t="s">
        <v>587</v>
      </c>
      <c r="E13" s="41" t="s">
        <v>25</v>
      </c>
      <c r="F13" s="41">
        <v>5</v>
      </c>
      <c r="G13" s="295">
        <v>828.25</v>
      </c>
      <c r="H13" s="40" t="s">
        <v>19</v>
      </c>
      <c r="I13" s="100"/>
      <c r="J13" s="12">
        <v>6</v>
      </c>
      <c r="K13" s="12">
        <v>355.26</v>
      </c>
      <c r="L13" s="74">
        <f>G13-K13</f>
        <v>472.99</v>
      </c>
    </row>
    <row r="14" spans="1:12" ht="30" customHeight="1">
      <c r="A14" s="37">
        <v>54</v>
      </c>
      <c r="B14" s="38" t="s">
        <v>590</v>
      </c>
      <c r="C14" s="40" t="s">
        <v>573</v>
      </c>
      <c r="D14" s="40" t="s">
        <v>587</v>
      </c>
      <c r="E14" s="41" t="s">
        <v>25</v>
      </c>
      <c r="F14" s="41">
        <v>10</v>
      </c>
      <c r="G14" s="295">
        <v>174.6</v>
      </c>
      <c r="H14" s="40" t="s">
        <v>19</v>
      </c>
      <c r="I14" s="100"/>
      <c r="J14" s="12">
        <v>10</v>
      </c>
      <c r="K14" s="12">
        <v>229.3</v>
      </c>
      <c r="L14" s="74">
        <f>G14-K14</f>
        <v>-54.70000000000002</v>
      </c>
    </row>
    <row r="15" spans="1:12" ht="30" customHeight="1">
      <c r="A15" s="37">
        <v>55</v>
      </c>
      <c r="B15" s="38" t="s">
        <v>591</v>
      </c>
      <c r="C15" s="40" t="s">
        <v>592</v>
      </c>
      <c r="D15" s="40" t="s">
        <v>587</v>
      </c>
      <c r="E15" s="41" t="s">
        <v>25</v>
      </c>
      <c r="F15" s="41">
        <v>1</v>
      </c>
      <c r="G15" s="295">
        <v>140</v>
      </c>
      <c r="H15" s="40" t="s">
        <v>63</v>
      </c>
      <c r="I15" s="100"/>
      <c r="J15" s="12">
        <v>10</v>
      </c>
      <c r="K15" s="12">
        <v>229.3</v>
      </c>
      <c r="L15" s="74">
        <f>G15-K15</f>
        <v>-89.30000000000001</v>
      </c>
    </row>
    <row r="16" spans="1:12" ht="30" customHeight="1">
      <c r="A16" s="37">
        <v>56</v>
      </c>
      <c r="B16" s="38" t="s">
        <v>15</v>
      </c>
      <c r="C16" s="43" t="s">
        <v>16</v>
      </c>
      <c r="D16" s="40" t="s">
        <v>587</v>
      </c>
      <c r="E16" s="41" t="s">
        <v>18</v>
      </c>
      <c r="F16" s="41">
        <v>5</v>
      </c>
      <c r="G16" s="295">
        <v>1050</v>
      </c>
      <c r="H16" s="40" t="s">
        <v>19</v>
      </c>
      <c r="I16" s="100"/>
      <c r="J16" s="12">
        <v>6</v>
      </c>
      <c r="K16" s="12">
        <v>355.26</v>
      </c>
      <c r="L16" s="74">
        <f>G16-K16</f>
        <v>694.74</v>
      </c>
    </row>
    <row r="17" spans="1:12" ht="30" customHeight="1">
      <c r="A17" s="37">
        <v>57</v>
      </c>
      <c r="B17" s="38" t="s">
        <v>569</v>
      </c>
      <c r="C17" s="40" t="s">
        <v>36</v>
      </c>
      <c r="D17" s="40" t="s">
        <v>587</v>
      </c>
      <c r="E17" s="41" t="s">
        <v>25</v>
      </c>
      <c r="F17" s="41">
        <v>1</v>
      </c>
      <c r="G17" s="295">
        <v>192.63</v>
      </c>
      <c r="H17" s="40" t="s">
        <v>19</v>
      </c>
      <c r="I17" s="100"/>
      <c r="L17" s="74"/>
    </row>
    <row r="18" spans="1:12" ht="30" customHeight="1">
      <c r="A18" s="37">
        <v>58</v>
      </c>
      <c r="B18" s="95" t="s">
        <v>593</v>
      </c>
      <c r="C18" s="43" t="s">
        <v>594</v>
      </c>
      <c r="D18" s="40" t="s">
        <v>587</v>
      </c>
      <c r="E18" s="41" t="s">
        <v>25</v>
      </c>
      <c r="F18" s="41">
        <v>1</v>
      </c>
      <c r="G18" s="295">
        <v>311</v>
      </c>
      <c r="H18" s="40" t="s">
        <v>19</v>
      </c>
      <c r="I18" s="100"/>
      <c r="L18" s="74"/>
    </row>
    <row r="19" spans="1:12" ht="30" customHeight="1">
      <c r="A19" s="37">
        <v>59</v>
      </c>
      <c r="B19" s="38" t="s">
        <v>595</v>
      </c>
      <c r="C19" s="96" t="s">
        <v>52</v>
      </c>
      <c r="D19" s="40" t="s">
        <v>587</v>
      </c>
      <c r="E19" s="41" t="s">
        <v>25</v>
      </c>
      <c r="F19" s="41">
        <v>8</v>
      </c>
      <c r="G19" s="295">
        <v>148.88</v>
      </c>
      <c r="H19" s="40" t="s">
        <v>19</v>
      </c>
      <c r="I19" s="100"/>
      <c r="L19" s="74"/>
    </row>
    <row r="20" spans="1:12" ht="30" customHeight="1">
      <c r="A20" s="37">
        <v>60</v>
      </c>
      <c r="B20" s="95" t="s">
        <v>596</v>
      </c>
      <c r="C20" s="43" t="s">
        <v>597</v>
      </c>
      <c r="D20" s="40" t="s">
        <v>587</v>
      </c>
      <c r="E20" s="41" t="s">
        <v>25</v>
      </c>
      <c r="F20" s="41">
        <v>2</v>
      </c>
      <c r="G20" s="295">
        <v>5000</v>
      </c>
      <c r="H20" s="40" t="s">
        <v>63</v>
      </c>
      <c r="I20" s="100"/>
      <c r="L20" s="74"/>
    </row>
    <row r="21" spans="1:12" ht="29.25" customHeight="1">
      <c r="A21" s="37">
        <v>61</v>
      </c>
      <c r="B21" s="95" t="s">
        <v>598</v>
      </c>
      <c r="C21" s="43" t="s">
        <v>597</v>
      </c>
      <c r="D21" s="40" t="s">
        <v>587</v>
      </c>
      <c r="E21" s="41" t="s">
        <v>25</v>
      </c>
      <c r="F21" s="41">
        <v>2</v>
      </c>
      <c r="G21" s="295">
        <v>7110</v>
      </c>
      <c r="H21" s="40" t="s">
        <v>63</v>
      </c>
      <c r="I21" s="100"/>
      <c r="L21" s="74"/>
    </row>
    <row r="22" spans="1:12" ht="29.25" customHeight="1">
      <c r="A22" s="37">
        <v>62</v>
      </c>
      <c r="B22" s="94" t="s">
        <v>599</v>
      </c>
      <c r="C22" s="94" t="s">
        <v>24</v>
      </c>
      <c r="D22" s="40" t="s">
        <v>587</v>
      </c>
      <c r="E22" s="41" t="s">
        <v>25</v>
      </c>
      <c r="F22" s="41">
        <v>4</v>
      </c>
      <c r="G22" s="295">
        <v>2400</v>
      </c>
      <c r="H22" s="40" t="s">
        <v>63</v>
      </c>
      <c r="I22" s="100"/>
      <c r="L22" s="74"/>
    </row>
    <row r="23" spans="1:12" ht="29.25" customHeight="1">
      <c r="A23" s="37">
        <v>63</v>
      </c>
      <c r="B23" s="95" t="s">
        <v>600</v>
      </c>
      <c r="C23" s="43" t="s">
        <v>597</v>
      </c>
      <c r="D23" s="40" t="s">
        <v>587</v>
      </c>
      <c r="E23" s="41" t="s">
        <v>601</v>
      </c>
      <c r="F23" s="41">
        <v>1</v>
      </c>
      <c r="G23" s="295">
        <v>1000</v>
      </c>
      <c r="H23" s="40" t="s">
        <v>63</v>
      </c>
      <c r="I23" s="100"/>
      <c r="L23" s="74"/>
    </row>
    <row r="24" spans="1:12" ht="29.25" customHeight="1">
      <c r="A24" s="37">
        <v>64</v>
      </c>
      <c r="B24" s="95" t="s">
        <v>602</v>
      </c>
      <c r="C24" s="43" t="s">
        <v>597</v>
      </c>
      <c r="D24" s="40" t="s">
        <v>587</v>
      </c>
      <c r="E24" s="41" t="s">
        <v>25</v>
      </c>
      <c r="F24" s="41">
        <v>1</v>
      </c>
      <c r="G24" s="295">
        <v>1850</v>
      </c>
      <c r="H24" s="40" t="s">
        <v>63</v>
      </c>
      <c r="I24" s="100"/>
      <c r="L24" s="74"/>
    </row>
    <row r="25" spans="1:12" ht="29.25" customHeight="1">
      <c r="A25" s="37">
        <v>65</v>
      </c>
      <c r="B25" s="97" t="s">
        <v>506</v>
      </c>
      <c r="C25" s="43" t="s">
        <v>204</v>
      </c>
      <c r="D25" s="40" t="s">
        <v>587</v>
      </c>
      <c r="E25" s="41" t="s">
        <v>205</v>
      </c>
      <c r="F25" s="41">
        <v>28.91</v>
      </c>
      <c r="G25" s="295">
        <v>10700</v>
      </c>
      <c r="H25" s="40" t="s">
        <v>132</v>
      </c>
      <c r="I25" s="100"/>
      <c r="L25" s="74"/>
    </row>
    <row r="26" spans="1:14" s="10" customFormat="1" ht="29.25" customHeight="1">
      <c r="A26" s="296"/>
      <c r="B26" s="308" t="s">
        <v>603</v>
      </c>
      <c r="C26" s="261"/>
      <c r="D26" s="262"/>
      <c r="E26" s="262"/>
      <c r="F26" s="262"/>
      <c r="G26" s="297">
        <f>SUM(G10:G25)</f>
        <v>452400</v>
      </c>
      <c r="H26" s="265"/>
      <c r="I26" s="100"/>
      <c r="K26" s="267">
        <f>SUM(K10:K25)</f>
        <v>327169.12</v>
      </c>
      <c r="L26" s="267">
        <f>SUM(L10:L25)</f>
        <v>2373.73</v>
      </c>
      <c r="N26" s="267">
        <f>K26-M26</f>
        <v>327169.12</v>
      </c>
    </row>
    <row r="27" spans="1:12" ht="45" customHeight="1">
      <c r="A27" s="37">
        <v>66</v>
      </c>
      <c r="B27" s="38" t="s">
        <v>236</v>
      </c>
      <c r="C27" s="40" t="s">
        <v>119</v>
      </c>
      <c r="D27" s="40" t="s">
        <v>604</v>
      </c>
      <c r="E27" s="41" t="s">
        <v>120</v>
      </c>
      <c r="F27" s="50" t="s">
        <v>605</v>
      </c>
      <c r="G27" s="295">
        <v>1410</v>
      </c>
      <c r="H27" s="40" t="s">
        <v>63</v>
      </c>
      <c r="I27" s="100"/>
      <c r="L27" s="74">
        <f>G27-K27</f>
        <v>1410</v>
      </c>
    </row>
    <row r="28" spans="1:12" ht="30" customHeight="1">
      <c r="A28" s="37">
        <v>67</v>
      </c>
      <c r="B28" s="98" t="s">
        <v>606</v>
      </c>
      <c r="C28" s="99" t="s">
        <v>532</v>
      </c>
      <c r="D28" s="40" t="s">
        <v>604</v>
      </c>
      <c r="E28" s="41" t="s">
        <v>113</v>
      </c>
      <c r="F28" s="41">
        <v>7</v>
      </c>
      <c r="G28" s="295">
        <v>3430</v>
      </c>
      <c r="H28" s="40" t="s">
        <v>63</v>
      </c>
      <c r="I28" s="100"/>
      <c r="L28" s="74">
        <f>G28-K28</f>
        <v>3430</v>
      </c>
    </row>
    <row r="29" spans="1:12" ht="30" customHeight="1">
      <c r="A29" s="37">
        <v>68</v>
      </c>
      <c r="B29" s="38" t="s">
        <v>130</v>
      </c>
      <c r="C29" s="40" t="s">
        <v>131</v>
      </c>
      <c r="D29" s="40" t="s">
        <v>604</v>
      </c>
      <c r="E29" s="41" t="s">
        <v>25</v>
      </c>
      <c r="F29" s="50">
        <v>2</v>
      </c>
      <c r="G29" s="295">
        <v>700</v>
      </c>
      <c r="H29" s="40" t="s">
        <v>63</v>
      </c>
      <c r="I29" s="100"/>
      <c r="L29" s="74">
        <f>G29-K29</f>
        <v>700</v>
      </c>
    </row>
    <row r="30" spans="1:12" ht="30" customHeight="1">
      <c r="A30" s="37">
        <v>69</v>
      </c>
      <c r="B30" s="38" t="s">
        <v>130</v>
      </c>
      <c r="C30" s="40" t="s">
        <v>131</v>
      </c>
      <c r="D30" s="40" t="s">
        <v>604</v>
      </c>
      <c r="E30" s="41" t="s">
        <v>25</v>
      </c>
      <c r="F30" s="50">
        <v>1</v>
      </c>
      <c r="G30" s="295">
        <v>280</v>
      </c>
      <c r="H30" s="40" t="s">
        <v>19</v>
      </c>
      <c r="I30" s="100"/>
      <c r="L30" s="74">
        <f>G30-K30</f>
        <v>280</v>
      </c>
    </row>
    <row r="31" spans="1:12" ht="30" customHeight="1">
      <c r="A31" s="37">
        <v>70</v>
      </c>
      <c r="B31" s="38" t="s">
        <v>130</v>
      </c>
      <c r="C31" s="40" t="s">
        <v>131</v>
      </c>
      <c r="D31" s="40" t="s">
        <v>604</v>
      </c>
      <c r="E31" s="41" t="s">
        <v>25</v>
      </c>
      <c r="F31" s="50">
        <v>1</v>
      </c>
      <c r="G31" s="295">
        <v>280</v>
      </c>
      <c r="H31" s="40" t="s">
        <v>132</v>
      </c>
      <c r="I31" s="100"/>
      <c r="L31" s="74">
        <f>G31-K31</f>
        <v>280</v>
      </c>
    </row>
    <row r="32" spans="1:9" s="10" customFormat="1" ht="29.25" customHeight="1">
      <c r="A32" s="296"/>
      <c r="B32" s="260" t="s">
        <v>607</v>
      </c>
      <c r="C32" s="261"/>
      <c r="D32" s="262"/>
      <c r="E32" s="263"/>
      <c r="F32" s="263"/>
      <c r="G32" s="297">
        <f>SUM(G27:G31)</f>
        <v>6100</v>
      </c>
      <c r="H32" s="265"/>
      <c r="I32" s="100"/>
    </row>
    <row r="33" spans="1:11" ht="30" customHeight="1">
      <c r="A33" s="37">
        <v>71</v>
      </c>
      <c r="B33" s="38" t="s">
        <v>137</v>
      </c>
      <c r="C33" s="52" t="s">
        <v>138</v>
      </c>
      <c r="D33" s="40" t="s">
        <v>608</v>
      </c>
      <c r="E33" s="41" t="s">
        <v>140</v>
      </c>
      <c r="F33" s="53">
        <f>G33/67.76</f>
        <v>57.556080283353005</v>
      </c>
      <c r="G33" s="295">
        <v>3900</v>
      </c>
      <c r="H33" s="40" t="s">
        <v>63</v>
      </c>
      <c r="I33" s="100"/>
      <c r="K33" s="12">
        <f>2300</f>
        <v>2300</v>
      </c>
    </row>
    <row r="34" spans="1:9" s="10" customFormat="1" ht="30" customHeight="1">
      <c r="A34" s="296"/>
      <c r="B34" s="260" t="s">
        <v>609</v>
      </c>
      <c r="C34" s="261"/>
      <c r="D34" s="262"/>
      <c r="E34" s="263"/>
      <c r="F34" s="263"/>
      <c r="G34" s="297">
        <f>SUM(G33)</f>
        <v>3900</v>
      </c>
      <c r="H34" s="265"/>
      <c r="I34" s="100"/>
    </row>
    <row r="35" spans="1:9" ht="30.75" customHeight="1">
      <c r="A35" s="37">
        <v>72</v>
      </c>
      <c r="B35" s="38" t="s">
        <v>485</v>
      </c>
      <c r="C35" s="54" t="s">
        <v>245</v>
      </c>
      <c r="D35" s="40" t="s">
        <v>610</v>
      </c>
      <c r="E35" s="41" t="s">
        <v>110</v>
      </c>
      <c r="F35" s="41">
        <v>3.79</v>
      </c>
      <c r="G35" s="295">
        <v>48.3</v>
      </c>
      <c r="H35" s="40" t="s">
        <v>63</v>
      </c>
      <c r="I35" s="100"/>
    </row>
    <row r="36" spans="1:9" ht="30" customHeight="1">
      <c r="A36" s="37">
        <v>73</v>
      </c>
      <c r="B36" s="38" t="s">
        <v>517</v>
      </c>
      <c r="C36" s="55" t="s">
        <v>518</v>
      </c>
      <c r="D36" s="40" t="s">
        <v>610</v>
      </c>
      <c r="E36" s="41" t="s">
        <v>110</v>
      </c>
      <c r="F36" s="41">
        <v>3.79</v>
      </c>
      <c r="G36" s="295">
        <v>51.7</v>
      </c>
      <c r="H36" s="40" t="s">
        <v>63</v>
      </c>
      <c r="I36" s="100"/>
    </row>
    <row r="37" spans="1:9" s="10" customFormat="1" ht="29.25" customHeight="1">
      <c r="A37" s="296"/>
      <c r="B37" s="260" t="s">
        <v>611</v>
      </c>
      <c r="C37" s="261"/>
      <c r="D37" s="262"/>
      <c r="E37" s="263"/>
      <c r="F37" s="263"/>
      <c r="G37" s="297">
        <f>SUM(G35:G36)</f>
        <v>100</v>
      </c>
      <c r="H37" s="265"/>
      <c r="I37" s="100"/>
    </row>
    <row r="38" spans="1:10" ht="30" customHeight="1">
      <c r="A38" s="37">
        <v>74</v>
      </c>
      <c r="B38" s="38" t="s">
        <v>142</v>
      </c>
      <c r="C38" s="54" t="s">
        <v>143</v>
      </c>
      <c r="D38" s="40" t="s">
        <v>612</v>
      </c>
      <c r="E38" s="41" t="s">
        <v>145</v>
      </c>
      <c r="F38" s="56">
        <f>G38/4.143</f>
        <v>289.64518464880524</v>
      </c>
      <c r="G38" s="295">
        <v>1200</v>
      </c>
      <c r="H38" s="40" t="s">
        <v>63</v>
      </c>
      <c r="I38" s="100"/>
      <c r="J38" s="12">
        <f>500</f>
        <v>500</v>
      </c>
    </row>
    <row r="39" spans="1:9" s="10" customFormat="1" ht="29.25" customHeight="1">
      <c r="A39" s="296"/>
      <c r="B39" s="260" t="s">
        <v>613</v>
      </c>
      <c r="C39" s="261"/>
      <c r="D39" s="262"/>
      <c r="E39" s="262"/>
      <c r="F39" s="262"/>
      <c r="G39" s="297">
        <f>SUM(G38)</f>
        <v>1200</v>
      </c>
      <c r="H39" s="265"/>
      <c r="I39" s="100"/>
    </row>
    <row r="40" spans="1:9" ht="22.5" customHeight="1">
      <c r="A40" s="102"/>
      <c r="B40" s="103" t="s">
        <v>151</v>
      </c>
      <c r="C40" s="103"/>
      <c r="D40" s="103"/>
      <c r="E40" s="103"/>
      <c r="F40" s="103"/>
      <c r="G40" s="303"/>
      <c r="H40" s="105"/>
      <c r="I40" s="141"/>
    </row>
    <row r="41" spans="1:9" ht="22.5" customHeight="1">
      <c r="A41" s="19"/>
      <c r="B41" s="106" t="s">
        <v>152</v>
      </c>
      <c r="C41" s="107"/>
      <c r="D41" s="108" t="s">
        <v>153</v>
      </c>
      <c r="E41" s="109"/>
      <c r="F41" s="109"/>
      <c r="G41" s="304"/>
      <c r="H41" s="8"/>
      <c r="I41" s="141"/>
    </row>
    <row r="42" spans="1:9" ht="22.5" customHeight="1">
      <c r="A42" s="19"/>
      <c r="B42" s="111"/>
      <c r="C42" s="9"/>
      <c r="D42" s="112" t="s">
        <v>154</v>
      </c>
      <c r="E42" s="113" t="s">
        <v>155</v>
      </c>
      <c r="F42" s="114"/>
      <c r="G42" s="304"/>
      <c r="H42" s="8"/>
      <c r="I42" s="141"/>
    </row>
    <row r="43" spans="1:9" ht="22.5" customHeight="1">
      <c r="A43" s="19"/>
      <c r="B43" s="115" t="s">
        <v>156</v>
      </c>
      <c r="C43" s="116"/>
      <c r="D43" s="108" t="s">
        <v>157</v>
      </c>
      <c r="E43" s="109"/>
      <c r="F43" s="109"/>
      <c r="G43" s="304"/>
      <c r="H43" s="8"/>
      <c r="I43" s="141"/>
    </row>
    <row r="44" spans="1:9" ht="22.5" customHeight="1">
      <c r="A44" s="19"/>
      <c r="B44" s="111"/>
      <c r="C44" s="9"/>
      <c r="D44" s="112" t="s">
        <v>154</v>
      </c>
      <c r="E44" s="113"/>
      <c r="F44" s="114"/>
      <c r="G44" s="304"/>
      <c r="H44" s="8"/>
      <c r="I44" s="141"/>
    </row>
    <row r="45" spans="1:9" ht="22.5" customHeight="1">
      <c r="A45" s="19"/>
      <c r="B45" s="115" t="s">
        <v>158</v>
      </c>
      <c r="C45" s="9"/>
      <c r="D45" s="9"/>
      <c r="E45" s="9"/>
      <c r="F45" s="9"/>
      <c r="G45" s="304"/>
      <c r="H45" s="8"/>
      <c r="I45" s="141"/>
    </row>
    <row r="46" spans="1:9" s="2" customFormat="1" ht="30" customHeight="1">
      <c r="A46" s="169"/>
      <c r="B46" s="305" t="s">
        <v>159</v>
      </c>
      <c r="C46" s="116"/>
      <c r="D46" s="306" t="s">
        <v>160</v>
      </c>
      <c r="E46" s="306"/>
      <c r="F46" s="306"/>
      <c r="G46" s="307"/>
      <c r="H46" s="171"/>
      <c r="I46" s="191"/>
    </row>
    <row r="47" spans="1:9" ht="22.5" customHeight="1">
      <c r="A47" s="19"/>
      <c r="B47" s="119" t="s">
        <v>486</v>
      </c>
      <c r="C47" s="119"/>
      <c r="D47" s="119"/>
      <c r="E47" s="9"/>
      <c r="F47" s="9"/>
      <c r="G47" s="304"/>
      <c r="H47" s="8"/>
      <c r="I47" s="141"/>
    </row>
  </sheetData>
  <sheetProtection/>
  <mergeCells count="19">
    <mergeCell ref="F1:G1"/>
    <mergeCell ref="A2:I2"/>
    <mergeCell ref="A3:I3"/>
    <mergeCell ref="A4:I4"/>
    <mergeCell ref="B26:C26"/>
    <mergeCell ref="B32:C32"/>
    <mergeCell ref="B34:C34"/>
    <mergeCell ref="B37:C37"/>
    <mergeCell ref="B39:C39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I10:I39"/>
  </mergeCells>
  <hyperlinks>
    <hyperlink ref="C15" r:id="rId1" display="20.60.1; ДК 016:2010"/>
    <hyperlink ref="C14" r:id="rId2" display="25.99.2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9"/>
  <sheetViews>
    <sheetView view="pageBreakPreview" zoomScale="90" zoomScaleNormal="90" zoomScaleSheetLayoutView="90" workbookViewId="0" topLeftCell="A13">
      <selection activeCell="F16" sqref="F16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8.2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24" t="s">
        <v>583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2.5" customHeight="1">
      <c r="A3" s="25" t="s">
        <v>584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17" t="s">
        <v>4</v>
      </c>
      <c r="B4" s="5"/>
      <c r="C4" s="5"/>
      <c r="D4" s="5"/>
      <c r="E4" s="5"/>
      <c r="F4" s="5"/>
      <c r="G4" s="5"/>
      <c r="H4" s="5"/>
      <c r="I4" s="5"/>
    </row>
    <row r="5" ht="15" customHeight="1"/>
    <row r="6" spans="1:11" ht="15.75" customHeight="1">
      <c r="A6" s="83" t="s">
        <v>5</v>
      </c>
      <c r="B6" s="28" t="s">
        <v>6</v>
      </c>
      <c r="C6" s="28" t="s">
        <v>7</v>
      </c>
      <c r="D6" s="63" t="s">
        <v>8</v>
      </c>
      <c r="E6" s="28" t="s">
        <v>9</v>
      </c>
      <c r="F6" s="28" t="s">
        <v>10</v>
      </c>
      <c r="G6" s="63" t="s">
        <v>11</v>
      </c>
      <c r="H6" s="63" t="s">
        <v>12</v>
      </c>
      <c r="I6" s="63" t="s">
        <v>13</v>
      </c>
      <c r="J6" s="71"/>
      <c r="K6" s="71"/>
    </row>
    <row r="7" spans="1:9" ht="31.5" customHeight="1">
      <c r="A7" s="84"/>
      <c r="B7" s="31"/>
      <c r="C7" s="31"/>
      <c r="D7" s="65"/>
      <c r="E7" s="31"/>
      <c r="F7" s="31"/>
      <c r="G7" s="65"/>
      <c r="H7" s="65"/>
      <c r="I7" s="65"/>
    </row>
    <row r="8" spans="1:9" ht="37.5" customHeight="1">
      <c r="A8" s="85"/>
      <c r="B8" s="34"/>
      <c r="C8" s="34"/>
      <c r="D8" s="67"/>
      <c r="E8" s="34"/>
      <c r="F8" s="34"/>
      <c r="G8" s="67"/>
      <c r="H8" s="67"/>
      <c r="I8" s="67"/>
    </row>
    <row r="9" spans="1:13" s="3" customFormat="1" ht="15" customHeight="1">
      <c r="A9" s="32">
        <v>1</v>
      </c>
      <c r="B9" s="33">
        <v>2</v>
      </c>
      <c r="C9" s="34">
        <v>3</v>
      </c>
      <c r="D9" s="67">
        <v>4</v>
      </c>
      <c r="E9" s="34">
        <v>5</v>
      </c>
      <c r="F9" s="34">
        <v>6</v>
      </c>
      <c r="G9" s="67">
        <v>7</v>
      </c>
      <c r="H9" s="67">
        <v>8</v>
      </c>
      <c r="I9" s="76">
        <v>9</v>
      </c>
      <c r="M9" s="3" t="s">
        <v>14</v>
      </c>
    </row>
    <row r="10" spans="1:12" ht="45" customHeight="1">
      <c r="A10" s="37">
        <v>33</v>
      </c>
      <c r="B10" s="38" t="s">
        <v>466</v>
      </c>
      <c r="C10" s="39" t="s">
        <v>204</v>
      </c>
      <c r="D10" s="40" t="s">
        <v>614</v>
      </c>
      <c r="E10" s="41" t="s">
        <v>205</v>
      </c>
      <c r="F10" s="41">
        <v>10.278</v>
      </c>
      <c r="G10" s="295">
        <v>26919.55</v>
      </c>
      <c r="H10" s="40" t="s">
        <v>63</v>
      </c>
      <c r="I10" s="73" t="s">
        <v>253</v>
      </c>
      <c r="L10" s="74">
        <f aca="true" t="shared" si="0" ref="L10:L15">G10-K10</f>
        <v>26919.55</v>
      </c>
    </row>
    <row r="11" spans="1:12" ht="45" customHeight="1">
      <c r="A11" s="37">
        <v>34</v>
      </c>
      <c r="B11" s="38" t="s">
        <v>615</v>
      </c>
      <c r="C11" s="43" t="s">
        <v>204</v>
      </c>
      <c r="D11" s="40" t="s">
        <v>614</v>
      </c>
      <c r="E11" s="41" t="s">
        <v>205</v>
      </c>
      <c r="F11" s="41">
        <v>2.75</v>
      </c>
      <c r="G11" s="295">
        <v>2500</v>
      </c>
      <c r="H11" s="40" t="s">
        <v>63</v>
      </c>
      <c r="I11" s="100"/>
      <c r="L11" s="74">
        <f t="shared" si="0"/>
        <v>2500</v>
      </c>
    </row>
    <row r="12" spans="1:12" ht="45" customHeight="1">
      <c r="A12" s="37">
        <v>35</v>
      </c>
      <c r="B12" s="38" t="s">
        <v>265</v>
      </c>
      <c r="C12" s="43" t="s">
        <v>204</v>
      </c>
      <c r="D12" s="40" t="s">
        <v>614</v>
      </c>
      <c r="E12" s="41" t="s">
        <v>205</v>
      </c>
      <c r="F12" s="41">
        <v>3.973</v>
      </c>
      <c r="G12" s="295">
        <v>1481.93</v>
      </c>
      <c r="H12" s="40" t="s">
        <v>63</v>
      </c>
      <c r="I12" s="100"/>
      <c r="L12" s="74">
        <f t="shared" si="0"/>
        <v>1481.93</v>
      </c>
    </row>
    <row r="13" spans="1:12" ht="30.75" customHeight="1">
      <c r="A13" s="37">
        <v>36</v>
      </c>
      <c r="B13" s="38" t="s">
        <v>208</v>
      </c>
      <c r="C13" s="43" t="s">
        <v>209</v>
      </c>
      <c r="D13" s="40" t="s">
        <v>614</v>
      </c>
      <c r="E13" s="41" t="s">
        <v>210</v>
      </c>
      <c r="F13" s="41">
        <v>11.06</v>
      </c>
      <c r="G13" s="295">
        <v>2098.52</v>
      </c>
      <c r="H13" s="40" t="s">
        <v>63</v>
      </c>
      <c r="I13" s="100"/>
      <c r="L13" s="74">
        <f t="shared" si="0"/>
        <v>2098.52</v>
      </c>
    </row>
    <row r="14" spans="1:12" ht="44.25" customHeight="1">
      <c r="A14" s="37">
        <v>37</v>
      </c>
      <c r="B14" s="38" t="s">
        <v>615</v>
      </c>
      <c r="C14" s="43" t="s">
        <v>204</v>
      </c>
      <c r="D14" s="40" t="s">
        <v>614</v>
      </c>
      <c r="E14" s="41" t="s">
        <v>205</v>
      </c>
      <c r="F14" s="41">
        <v>2.65</v>
      </c>
      <c r="G14" s="295">
        <v>2414</v>
      </c>
      <c r="H14" s="40" t="s">
        <v>19</v>
      </c>
      <c r="I14" s="100"/>
      <c r="L14" s="74">
        <f t="shared" si="0"/>
        <v>2414</v>
      </c>
    </row>
    <row r="15" spans="1:12" ht="44.25" customHeight="1">
      <c r="A15" s="37">
        <v>38</v>
      </c>
      <c r="B15" s="38" t="s">
        <v>466</v>
      </c>
      <c r="C15" s="43" t="s">
        <v>204</v>
      </c>
      <c r="D15" s="40" t="s">
        <v>614</v>
      </c>
      <c r="E15" s="41" t="s">
        <v>205</v>
      </c>
      <c r="F15" s="41">
        <v>8.012</v>
      </c>
      <c r="G15" s="295">
        <v>20986</v>
      </c>
      <c r="H15" s="40" t="s">
        <v>19</v>
      </c>
      <c r="I15" s="100"/>
      <c r="L15" s="74">
        <f t="shared" si="0"/>
        <v>20986</v>
      </c>
    </row>
    <row r="16" spans="1:14" s="10" customFormat="1" ht="30" customHeight="1">
      <c r="A16" s="296"/>
      <c r="B16" s="308" t="s">
        <v>616</v>
      </c>
      <c r="C16" s="261"/>
      <c r="D16" s="262"/>
      <c r="E16" s="263"/>
      <c r="F16" s="263"/>
      <c r="G16" s="297">
        <f>SUM(G10:G15)</f>
        <v>56400</v>
      </c>
      <c r="H16" s="265"/>
      <c r="I16" s="100"/>
      <c r="K16" s="267">
        <f>SUM(K10:K15)</f>
        <v>0</v>
      </c>
      <c r="L16" s="267">
        <f>SUM(L10:L15)</f>
        <v>56400</v>
      </c>
      <c r="N16" s="267"/>
    </row>
    <row r="17" spans="1:12" ht="32.25" customHeight="1">
      <c r="A17" s="37">
        <v>39</v>
      </c>
      <c r="B17" s="38" t="s">
        <v>235</v>
      </c>
      <c r="C17" s="40" t="s">
        <v>116</v>
      </c>
      <c r="D17" s="40" t="s">
        <v>617</v>
      </c>
      <c r="E17" s="41" t="s">
        <v>113</v>
      </c>
      <c r="F17" s="50" t="s">
        <v>117</v>
      </c>
      <c r="G17" s="295">
        <v>1476</v>
      </c>
      <c r="H17" s="40" t="s">
        <v>63</v>
      </c>
      <c r="I17" s="100"/>
      <c r="L17" s="74">
        <f aca="true" t="shared" si="1" ref="L17:L23">G17-K17</f>
        <v>1476</v>
      </c>
    </row>
    <row r="18" spans="1:12" ht="30" customHeight="1">
      <c r="A18" s="37">
        <v>40</v>
      </c>
      <c r="B18" s="38" t="s">
        <v>433</v>
      </c>
      <c r="C18" s="40" t="s">
        <v>234</v>
      </c>
      <c r="D18" s="40" t="s">
        <v>617</v>
      </c>
      <c r="E18" s="41" t="s">
        <v>113</v>
      </c>
      <c r="F18" s="50" t="s">
        <v>117</v>
      </c>
      <c r="G18" s="295">
        <v>780</v>
      </c>
      <c r="H18" s="40" t="s">
        <v>63</v>
      </c>
      <c r="I18" s="100"/>
      <c r="L18" s="74">
        <f t="shared" si="1"/>
        <v>780</v>
      </c>
    </row>
    <row r="19" spans="1:12" ht="30" customHeight="1">
      <c r="A19" s="37">
        <v>41</v>
      </c>
      <c r="B19" s="38" t="s">
        <v>130</v>
      </c>
      <c r="C19" s="40" t="s">
        <v>131</v>
      </c>
      <c r="D19" s="40" t="s">
        <v>617</v>
      </c>
      <c r="E19" s="41" t="s">
        <v>25</v>
      </c>
      <c r="F19" s="41">
        <v>6</v>
      </c>
      <c r="G19" s="295">
        <v>1680</v>
      </c>
      <c r="H19" s="40" t="s">
        <v>63</v>
      </c>
      <c r="I19" s="100"/>
      <c r="L19" s="74">
        <f t="shared" si="1"/>
        <v>1680</v>
      </c>
    </row>
    <row r="20" spans="1:12" ht="30" customHeight="1">
      <c r="A20" s="37">
        <v>42</v>
      </c>
      <c r="B20" s="38" t="s">
        <v>130</v>
      </c>
      <c r="C20" s="40" t="s">
        <v>131</v>
      </c>
      <c r="D20" s="40" t="s">
        <v>617</v>
      </c>
      <c r="E20" s="41" t="s">
        <v>25</v>
      </c>
      <c r="F20" s="41">
        <v>6</v>
      </c>
      <c r="G20" s="295">
        <v>1680</v>
      </c>
      <c r="H20" s="40" t="s">
        <v>19</v>
      </c>
      <c r="I20" s="100"/>
      <c r="L20" s="74">
        <f t="shared" si="1"/>
        <v>1680</v>
      </c>
    </row>
    <row r="21" spans="1:12" ht="30" customHeight="1">
      <c r="A21" s="37">
        <v>43</v>
      </c>
      <c r="B21" s="38" t="s">
        <v>130</v>
      </c>
      <c r="C21" s="40" t="s">
        <v>131</v>
      </c>
      <c r="D21" s="40" t="s">
        <v>617</v>
      </c>
      <c r="E21" s="41" t="s">
        <v>25</v>
      </c>
      <c r="F21" s="41">
        <v>6</v>
      </c>
      <c r="G21" s="295">
        <v>1680</v>
      </c>
      <c r="H21" s="40" t="s">
        <v>132</v>
      </c>
      <c r="I21" s="100"/>
      <c r="L21" s="74">
        <f t="shared" si="1"/>
        <v>1680</v>
      </c>
    </row>
    <row r="22" spans="1:12" ht="45" customHeight="1">
      <c r="A22" s="37">
        <v>44</v>
      </c>
      <c r="B22" s="38" t="s">
        <v>236</v>
      </c>
      <c r="C22" s="40" t="s">
        <v>119</v>
      </c>
      <c r="D22" s="40" t="s">
        <v>617</v>
      </c>
      <c r="E22" s="41" t="s">
        <v>120</v>
      </c>
      <c r="F22" s="50" t="s">
        <v>605</v>
      </c>
      <c r="G22" s="295">
        <v>2904</v>
      </c>
      <c r="H22" s="40" t="s">
        <v>63</v>
      </c>
      <c r="I22" s="100"/>
      <c r="L22" s="74">
        <f t="shared" si="1"/>
        <v>2904</v>
      </c>
    </row>
    <row r="23" spans="1:12" ht="64.5" customHeight="1">
      <c r="A23" s="37">
        <v>45</v>
      </c>
      <c r="B23" s="87" t="s">
        <v>618</v>
      </c>
      <c r="C23" s="88" t="s">
        <v>619</v>
      </c>
      <c r="D23" s="40" t="s">
        <v>617</v>
      </c>
      <c r="E23" s="41" t="s">
        <v>113</v>
      </c>
      <c r="F23" s="41" t="s">
        <v>117</v>
      </c>
      <c r="G23" s="295">
        <v>8700</v>
      </c>
      <c r="H23" s="40" t="s">
        <v>63</v>
      </c>
      <c r="I23" s="100"/>
      <c r="L23" s="74">
        <f t="shared" si="1"/>
        <v>8700</v>
      </c>
    </row>
    <row r="24" spans="1:11" s="10" customFormat="1" ht="30" customHeight="1">
      <c r="A24" s="296"/>
      <c r="B24" s="308" t="s">
        <v>620</v>
      </c>
      <c r="C24" s="261"/>
      <c r="D24" s="262"/>
      <c r="E24" s="263"/>
      <c r="F24" s="263"/>
      <c r="G24" s="297">
        <f>SUM(G17:G23)</f>
        <v>18900</v>
      </c>
      <c r="H24" s="265"/>
      <c r="I24" s="100"/>
      <c r="K24" s="10">
        <f>SUM(K17:K23)</f>
        <v>0</v>
      </c>
    </row>
    <row r="25" spans="1:11" ht="29.25" customHeight="1">
      <c r="A25" s="37">
        <v>46</v>
      </c>
      <c r="B25" s="38" t="s">
        <v>137</v>
      </c>
      <c r="C25" s="52" t="s">
        <v>138</v>
      </c>
      <c r="D25" s="40" t="s">
        <v>621</v>
      </c>
      <c r="E25" s="41" t="s">
        <v>140</v>
      </c>
      <c r="F25" s="53">
        <f>G25/67.76</f>
        <v>413.2231404958677</v>
      </c>
      <c r="G25" s="295">
        <v>28000</v>
      </c>
      <c r="H25" s="40" t="s">
        <v>63</v>
      </c>
      <c r="I25" s="100"/>
      <c r="K25" s="12">
        <f>11237.67</f>
        <v>11237.67</v>
      </c>
    </row>
    <row r="26" spans="1:9" s="10" customFormat="1" ht="30" customHeight="1">
      <c r="A26" s="296"/>
      <c r="B26" s="308" t="s">
        <v>622</v>
      </c>
      <c r="C26" s="261"/>
      <c r="D26" s="262"/>
      <c r="E26" s="263"/>
      <c r="F26" s="263"/>
      <c r="G26" s="297">
        <f>SUM(G25)</f>
        <v>28000</v>
      </c>
      <c r="H26" s="265"/>
      <c r="I26" s="100"/>
    </row>
    <row r="27" spans="1:9" ht="31.5" customHeight="1">
      <c r="A27" s="37">
        <v>47</v>
      </c>
      <c r="B27" s="38" t="s">
        <v>485</v>
      </c>
      <c r="C27" s="54" t="s">
        <v>245</v>
      </c>
      <c r="D27" s="40" t="s">
        <v>623</v>
      </c>
      <c r="E27" s="41" t="s">
        <v>110</v>
      </c>
      <c r="F27" s="53">
        <v>7.58</v>
      </c>
      <c r="G27" s="295">
        <v>96.42</v>
      </c>
      <c r="H27" s="40" t="s">
        <v>63</v>
      </c>
      <c r="I27" s="100"/>
    </row>
    <row r="28" spans="1:9" ht="31.5" customHeight="1">
      <c r="A28" s="37">
        <v>48</v>
      </c>
      <c r="B28" s="38" t="s">
        <v>517</v>
      </c>
      <c r="C28" s="55" t="s">
        <v>518</v>
      </c>
      <c r="D28" s="40" t="s">
        <v>623</v>
      </c>
      <c r="E28" s="41" t="s">
        <v>110</v>
      </c>
      <c r="F28" s="53">
        <v>7.58</v>
      </c>
      <c r="G28" s="295">
        <v>103.58</v>
      </c>
      <c r="H28" s="40" t="s">
        <v>63</v>
      </c>
      <c r="I28" s="100"/>
    </row>
    <row r="29" spans="1:9" s="10" customFormat="1" ht="30" customHeight="1">
      <c r="A29" s="296"/>
      <c r="B29" s="308" t="s">
        <v>624</v>
      </c>
      <c r="C29" s="261"/>
      <c r="D29" s="262"/>
      <c r="E29" s="263"/>
      <c r="F29" s="263"/>
      <c r="G29" s="297">
        <f>SUM(G27:G28)</f>
        <v>200</v>
      </c>
      <c r="H29" s="265"/>
      <c r="I29" s="100"/>
    </row>
    <row r="30" spans="1:11" ht="31.5" customHeight="1">
      <c r="A30" s="37">
        <v>49</v>
      </c>
      <c r="B30" s="38" t="s">
        <v>142</v>
      </c>
      <c r="C30" s="54" t="s">
        <v>143</v>
      </c>
      <c r="D30" s="40" t="s">
        <v>625</v>
      </c>
      <c r="E30" s="41" t="s">
        <v>145</v>
      </c>
      <c r="F30" s="56">
        <f>G30/4.143</f>
        <v>1762.008206613565</v>
      </c>
      <c r="G30" s="295">
        <v>7300</v>
      </c>
      <c r="H30" s="40" t="s">
        <v>63</v>
      </c>
      <c r="I30" s="100"/>
      <c r="K30" s="12">
        <f>2796.42+244.97</f>
        <v>3041.39</v>
      </c>
    </row>
    <row r="31" spans="1:9" s="10" customFormat="1" ht="30" customHeight="1">
      <c r="A31" s="296"/>
      <c r="B31" s="308" t="s">
        <v>626</v>
      </c>
      <c r="C31" s="261"/>
      <c r="D31" s="262"/>
      <c r="E31" s="262"/>
      <c r="F31" s="262"/>
      <c r="G31" s="297">
        <f>SUM(G30)</f>
        <v>7300</v>
      </c>
      <c r="H31" s="265"/>
      <c r="I31" s="100"/>
    </row>
    <row r="32" spans="1:9" ht="22.5" customHeight="1">
      <c r="A32" s="102"/>
      <c r="B32" s="103" t="s">
        <v>151</v>
      </c>
      <c r="C32" s="103"/>
      <c r="D32" s="103"/>
      <c r="E32" s="103"/>
      <c r="F32" s="103"/>
      <c r="G32" s="303"/>
      <c r="H32" s="105"/>
      <c r="I32" s="141"/>
    </row>
    <row r="33" spans="1:9" ht="22.5" customHeight="1">
      <c r="A33" s="19"/>
      <c r="B33" s="106" t="s">
        <v>152</v>
      </c>
      <c r="C33" s="107"/>
      <c r="D33" s="108" t="s">
        <v>153</v>
      </c>
      <c r="E33" s="109"/>
      <c r="F33" s="109"/>
      <c r="G33" s="304"/>
      <c r="H33" s="8"/>
      <c r="I33" s="141"/>
    </row>
    <row r="34" spans="1:9" ht="22.5" customHeight="1">
      <c r="A34" s="19"/>
      <c r="B34" s="111"/>
      <c r="C34" s="9"/>
      <c r="D34" s="112" t="s">
        <v>154</v>
      </c>
      <c r="E34" s="113" t="s">
        <v>155</v>
      </c>
      <c r="F34" s="114"/>
      <c r="G34" s="304"/>
      <c r="H34" s="8"/>
      <c r="I34" s="141"/>
    </row>
    <row r="35" spans="1:9" ht="22.5" customHeight="1">
      <c r="A35" s="19"/>
      <c r="B35" s="115" t="s">
        <v>156</v>
      </c>
      <c r="C35" s="116"/>
      <c r="D35" s="108" t="s">
        <v>157</v>
      </c>
      <c r="E35" s="109"/>
      <c r="F35" s="109"/>
      <c r="G35" s="304"/>
      <c r="H35" s="8"/>
      <c r="I35" s="141"/>
    </row>
    <row r="36" spans="1:9" ht="22.5" customHeight="1">
      <c r="A36" s="19"/>
      <c r="B36" s="111"/>
      <c r="C36" s="9"/>
      <c r="D36" s="112" t="s">
        <v>154</v>
      </c>
      <c r="E36" s="113"/>
      <c r="F36" s="114"/>
      <c r="G36" s="304"/>
      <c r="H36" s="8"/>
      <c r="I36" s="141"/>
    </row>
    <row r="37" spans="1:9" ht="22.5" customHeight="1">
      <c r="A37" s="19"/>
      <c r="B37" s="115" t="s">
        <v>158</v>
      </c>
      <c r="C37" s="9"/>
      <c r="D37" s="9"/>
      <c r="E37" s="9"/>
      <c r="F37" s="9"/>
      <c r="G37" s="304"/>
      <c r="H37" s="8"/>
      <c r="I37" s="141"/>
    </row>
    <row r="38" spans="1:9" s="2" customFormat="1" ht="30" customHeight="1">
      <c r="A38" s="169"/>
      <c r="B38" s="305" t="s">
        <v>159</v>
      </c>
      <c r="C38" s="116"/>
      <c r="D38" s="306" t="s">
        <v>160</v>
      </c>
      <c r="E38" s="306"/>
      <c r="F38" s="306"/>
      <c r="G38" s="307"/>
      <c r="H38" s="171"/>
      <c r="I38" s="191"/>
    </row>
    <row r="39" spans="1:9" ht="22.5" customHeight="1">
      <c r="A39" s="19"/>
      <c r="B39" s="119" t="s">
        <v>486</v>
      </c>
      <c r="C39" s="119"/>
      <c r="D39" s="119"/>
      <c r="E39" s="9"/>
      <c r="F39" s="9"/>
      <c r="G39" s="304"/>
      <c r="H39" s="8"/>
      <c r="I39" s="141"/>
    </row>
  </sheetData>
  <sheetProtection/>
  <mergeCells count="19">
    <mergeCell ref="F1:G1"/>
    <mergeCell ref="A2:I2"/>
    <mergeCell ref="A3:I3"/>
    <mergeCell ref="A4:I4"/>
    <mergeCell ref="B16:C16"/>
    <mergeCell ref="B24:C24"/>
    <mergeCell ref="B26:C26"/>
    <mergeCell ref="B29:C29"/>
    <mergeCell ref="B31:C31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I10:I31"/>
  </mergeCell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45"/>
  <sheetViews>
    <sheetView view="pageBreakPreview" zoomScale="90" zoomScaleNormal="90" zoomScaleSheetLayoutView="90" workbookViewId="0" topLeftCell="A29">
      <selection activeCell="E51" sqref="E51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4:6" ht="15" hidden="1">
      <c r="D1" s="14"/>
      <c r="F1" s="12" t="s">
        <v>627</v>
      </c>
    </row>
    <row r="2" spans="4:6" ht="15" hidden="1">
      <c r="D2" s="14"/>
      <c r="F2" s="12" t="s">
        <v>628</v>
      </c>
    </row>
    <row r="3" spans="4:6" ht="15" hidden="1">
      <c r="D3" s="14"/>
      <c r="F3" s="12" t="s">
        <v>629</v>
      </c>
    </row>
    <row r="4" spans="4:7" ht="15" hidden="1">
      <c r="D4" s="14"/>
      <c r="F4" s="8" t="s">
        <v>630</v>
      </c>
      <c r="G4" s="8"/>
    </row>
    <row r="5" spans="4:7" ht="15" hidden="1">
      <c r="D5" s="14"/>
      <c r="F5" s="8" t="s">
        <v>631</v>
      </c>
      <c r="G5" s="8"/>
    </row>
    <row r="6" ht="15" hidden="1"/>
    <row r="7" spans="2:6" ht="15" hidden="1">
      <c r="B7" s="12" t="s">
        <v>0</v>
      </c>
      <c r="E7" s="3"/>
      <c r="F7" s="3"/>
    </row>
    <row r="8" spans="1:9" ht="15" hidden="1">
      <c r="A8" s="16" t="s">
        <v>632</v>
      </c>
      <c r="B8" s="3"/>
      <c r="C8" s="3"/>
      <c r="D8" s="3"/>
      <c r="E8" s="3"/>
      <c r="F8" s="3"/>
      <c r="G8" s="3"/>
      <c r="H8" s="3"/>
      <c r="I8" s="3"/>
    </row>
    <row r="9" spans="1:9" ht="15" hidden="1">
      <c r="A9" s="16" t="s">
        <v>633</v>
      </c>
      <c r="B9" s="3"/>
      <c r="C9" s="3"/>
      <c r="D9" s="3"/>
      <c r="E9" s="3"/>
      <c r="F9" s="3"/>
      <c r="G9" s="3"/>
      <c r="H9" s="3"/>
      <c r="I9" s="3"/>
    </row>
    <row r="10" spans="1:9" ht="15" hidden="1">
      <c r="A10" s="17" t="s">
        <v>634</v>
      </c>
      <c r="B10" s="18"/>
      <c r="C10" s="18"/>
      <c r="D10" s="18"/>
      <c r="E10" s="18"/>
      <c r="F10" s="18"/>
      <c r="G10" s="18"/>
      <c r="H10" s="18"/>
      <c r="I10" s="18"/>
    </row>
    <row r="11" spans="1:9" ht="67.5" customHeight="1">
      <c r="A11" s="19"/>
      <c r="B11" s="8" t="s">
        <v>0</v>
      </c>
      <c r="C11" s="20"/>
      <c r="D11" s="21"/>
      <c r="E11" s="22"/>
      <c r="F11" s="23" t="s">
        <v>1</v>
      </c>
      <c r="G11" s="23"/>
      <c r="H11" s="21"/>
      <c r="I11" s="70"/>
    </row>
    <row r="12" spans="1:9" ht="45" customHeight="1">
      <c r="A12" s="24" t="s">
        <v>583</v>
      </c>
      <c r="B12" s="24"/>
      <c r="C12" s="24"/>
      <c r="D12" s="24"/>
      <c r="E12" s="24"/>
      <c r="F12" s="24"/>
      <c r="G12" s="24"/>
      <c r="H12" s="24"/>
      <c r="I12" s="24"/>
    </row>
    <row r="13" spans="1:9" s="1" customFormat="1" ht="22.5" customHeight="1">
      <c r="A13" s="25" t="s">
        <v>584</v>
      </c>
      <c r="B13" s="3"/>
      <c r="C13" s="3"/>
      <c r="D13" s="3"/>
      <c r="E13" s="3"/>
      <c r="F13" s="3"/>
      <c r="G13" s="3"/>
      <c r="H13" s="3"/>
      <c r="I13" s="3"/>
    </row>
    <row r="14" spans="1:9" ht="15" customHeight="1">
      <c r="A14" s="17" t="s">
        <v>4</v>
      </c>
      <c r="B14" s="5"/>
      <c r="C14" s="5"/>
      <c r="D14" s="5"/>
      <c r="E14" s="5"/>
      <c r="F14" s="5"/>
      <c r="G14" s="5"/>
      <c r="H14" s="5"/>
      <c r="I14" s="5"/>
    </row>
    <row r="15" ht="15" customHeight="1"/>
    <row r="16" spans="1:11" ht="15.75" customHeight="1">
      <c r="A16" s="26" t="s">
        <v>5</v>
      </c>
      <c r="B16" s="27" t="s">
        <v>6</v>
      </c>
      <c r="C16" s="28" t="s">
        <v>7</v>
      </c>
      <c r="D16" s="63" t="s">
        <v>8</v>
      </c>
      <c r="E16" s="28" t="s">
        <v>9</v>
      </c>
      <c r="F16" s="28" t="s">
        <v>10</v>
      </c>
      <c r="G16" s="63" t="s">
        <v>11</v>
      </c>
      <c r="H16" s="63" t="s">
        <v>12</v>
      </c>
      <c r="I16" s="63" t="s">
        <v>13</v>
      </c>
      <c r="J16" s="71"/>
      <c r="K16" s="71"/>
    </row>
    <row r="17" spans="1:9" ht="31.5" customHeight="1">
      <c r="A17" s="29"/>
      <c r="B17" s="30"/>
      <c r="C17" s="31"/>
      <c r="D17" s="65"/>
      <c r="E17" s="31"/>
      <c r="F17" s="31"/>
      <c r="G17" s="65"/>
      <c r="H17" s="65"/>
      <c r="I17" s="65"/>
    </row>
    <row r="18" spans="1:9" ht="37.5" customHeight="1">
      <c r="A18" s="32"/>
      <c r="B18" s="33"/>
      <c r="C18" s="34"/>
      <c r="D18" s="67"/>
      <c r="E18" s="34"/>
      <c r="F18" s="34"/>
      <c r="G18" s="67"/>
      <c r="H18" s="67"/>
      <c r="I18" s="67"/>
    </row>
    <row r="19" spans="1:9" ht="20.25" customHeight="1">
      <c r="A19" s="32">
        <v>1</v>
      </c>
      <c r="B19" s="33">
        <v>2</v>
      </c>
      <c r="C19" s="34">
        <v>3</v>
      </c>
      <c r="D19" s="67">
        <v>4</v>
      </c>
      <c r="E19" s="34">
        <v>5</v>
      </c>
      <c r="F19" s="34">
        <v>6</v>
      </c>
      <c r="G19" s="67">
        <v>7</v>
      </c>
      <c r="H19" s="67">
        <v>8</v>
      </c>
      <c r="I19" s="76">
        <v>9</v>
      </c>
    </row>
    <row r="20" spans="1:12" ht="32.25" customHeight="1">
      <c r="A20" s="37">
        <v>20</v>
      </c>
      <c r="B20" s="38" t="s">
        <v>15</v>
      </c>
      <c r="C20" s="39" t="s">
        <v>16</v>
      </c>
      <c r="D20" s="40" t="s">
        <v>635</v>
      </c>
      <c r="E20" s="41" t="s">
        <v>18</v>
      </c>
      <c r="F20" s="41">
        <v>8</v>
      </c>
      <c r="G20" s="295">
        <v>1680</v>
      </c>
      <c r="H20" s="40" t="s">
        <v>63</v>
      </c>
      <c r="I20" s="77" t="s">
        <v>253</v>
      </c>
      <c r="L20" s="74">
        <f>G20-K20</f>
        <v>1680</v>
      </c>
    </row>
    <row r="21" spans="1:12" ht="29.25" customHeight="1">
      <c r="A21" s="37">
        <v>21</v>
      </c>
      <c r="B21" s="38" t="s">
        <v>166</v>
      </c>
      <c r="C21" s="43" t="s">
        <v>16</v>
      </c>
      <c r="D21" s="40" t="s">
        <v>635</v>
      </c>
      <c r="E21" s="41" t="s">
        <v>25</v>
      </c>
      <c r="F21" s="41">
        <v>1</v>
      </c>
      <c r="G21" s="295">
        <v>20</v>
      </c>
      <c r="H21" s="40" t="s">
        <v>63</v>
      </c>
      <c r="I21" s="31"/>
      <c r="L21" s="74"/>
    </row>
    <row r="22" spans="1:14" s="10" customFormat="1" ht="30" customHeight="1">
      <c r="A22" s="296"/>
      <c r="B22" s="260" t="s">
        <v>636</v>
      </c>
      <c r="C22" s="261"/>
      <c r="D22" s="262"/>
      <c r="E22" s="263"/>
      <c r="F22" s="263"/>
      <c r="G22" s="297">
        <f>SUM(G20:G21)</f>
        <v>1700</v>
      </c>
      <c r="H22" s="265"/>
      <c r="I22" s="31"/>
      <c r="K22" s="267">
        <f>SUM(K20:K21)</f>
        <v>0</v>
      </c>
      <c r="L22" s="267">
        <f>SUM(L21:L21)</f>
        <v>0</v>
      </c>
      <c r="N22" s="267"/>
    </row>
    <row r="23" spans="1:12" ht="43.5" customHeight="1">
      <c r="A23" s="37">
        <v>22</v>
      </c>
      <c r="B23" s="38" t="s">
        <v>236</v>
      </c>
      <c r="C23" s="40" t="s">
        <v>119</v>
      </c>
      <c r="D23" s="40" t="s">
        <v>637</v>
      </c>
      <c r="E23" s="41" t="s">
        <v>120</v>
      </c>
      <c r="F23" s="50" t="s">
        <v>605</v>
      </c>
      <c r="G23" s="295">
        <v>868</v>
      </c>
      <c r="H23" s="40" t="s">
        <v>63</v>
      </c>
      <c r="I23" s="31"/>
      <c r="L23" s="74">
        <f aca="true" t="shared" si="0" ref="L23:L30">G23-K23</f>
        <v>868</v>
      </c>
    </row>
    <row r="24" spans="1:12" ht="30.75" customHeight="1">
      <c r="A24" s="37">
        <v>23</v>
      </c>
      <c r="B24" s="38" t="s">
        <v>433</v>
      </c>
      <c r="C24" s="40" t="s">
        <v>234</v>
      </c>
      <c r="D24" s="40" t="s">
        <v>637</v>
      </c>
      <c r="E24" s="41" t="s">
        <v>113</v>
      </c>
      <c r="F24" s="50" t="s">
        <v>117</v>
      </c>
      <c r="G24" s="295">
        <v>3780</v>
      </c>
      <c r="H24" s="40" t="s">
        <v>63</v>
      </c>
      <c r="I24" s="31"/>
      <c r="K24" s="12">
        <f>1260</f>
        <v>1260</v>
      </c>
      <c r="L24" s="74">
        <f t="shared" si="0"/>
        <v>2520</v>
      </c>
    </row>
    <row r="25" spans="1:12" ht="29.25" customHeight="1">
      <c r="A25" s="37">
        <v>24</v>
      </c>
      <c r="B25" s="38" t="s">
        <v>130</v>
      </c>
      <c r="C25" s="40" t="s">
        <v>131</v>
      </c>
      <c r="D25" s="40" t="s">
        <v>637</v>
      </c>
      <c r="E25" s="41" t="s">
        <v>25</v>
      </c>
      <c r="F25" s="50">
        <v>2</v>
      </c>
      <c r="G25" s="295">
        <v>560</v>
      </c>
      <c r="H25" s="40" t="s">
        <v>63</v>
      </c>
      <c r="I25" s="31"/>
      <c r="L25" s="74">
        <f t="shared" si="0"/>
        <v>560</v>
      </c>
    </row>
    <row r="26" spans="1:12" ht="29.25" customHeight="1">
      <c r="A26" s="37">
        <v>25</v>
      </c>
      <c r="B26" s="38" t="s">
        <v>130</v>
      </c>
      <c r="C26" s="40" t="s">
        <v>131</v>
      </c>
      <c r="D26" s="40" t="s">
        <v>637</v>
      </c>
      <c r="E26" s="41" t="s">
        <v>25</v>
      </c>
      <c r="F26" s="50">
        <v>2</v>
      </c>
      <c r="G26" s="295">
        <v>560</v>
      </c>
      <c r="H26" s="40" t="s">
        <v>19</v>
      </c>
      <c r="I26" s="31"/>
      <c r="L26" s="74">
        <f t="shared" si="0"/>
        <v>560</v>
      </c>
    </row>
    <row r="27" spans="1:12" ht="29.25" customHeight="1">
      <c r="A27" s="37">
        <v>26</v>
      </c>
      <c r="B27" s="38" t="s">
        <v>130</v>
      </c>
      <c r="C27" s="40" t="s">
        <v>131</v>
      </c>
      <c r="D27" s="40" t="s">
        <v>637</v>
      </c>
      <c r="E27" s="41" t="s">
        <v>25</v>
      </c>
      <c r="F27" s="50">
        <v>2</v>
      </c>
      <c r="G27" s="295">
        <v>560</v>
      </c>
      <c r="H27" s="40" t="s">
        <v>132</v>
      </c>
      <c r="I27" s="31"/>
      <c r="L27" s="74">
        <f t="shared" si="0"/>
        <v>560</v>
      </c>
    </row>
    <row r="28" spans="1:12" ht="30" customHeight="1">
      <c r="A28" s="37">
        <v>27</v>
      </c>
      <c r="B28" s="38" t="s">
        <v>638</v>
      </c>
      <c r="C28" s="40" t="s">
        <v>131</v>
      </c>
      <c r="D28" s="40" t="s">
        <v>637</v>
      </c>
      <c r="E28" s="41" t="s">
        <v>25</v>
      </c>
      <c r="F28" s="41">
        <v>1</v>
      </c>
      <c r="G28" s="295">
        <v>1370</v>
      </c>
      <c r="H28" s="40" t="s">
        <v>63</v>
      </c>
      <c r="I28" s="31"/>
      <c r="L28" s="74">
        <f t="shared" si="0"/>
        <v>1370</v>
      </c>
    </row>
    <row r="29" spans="1:12" ht="30" customHeight="1">
      <c r="A29" s="37">
        <v>28</v>
      </c>
      <c r="B29" s="38" t="s">
        <v>639</v>
      </c>
      <c r="C29" s="40" t="s">
        <v>123</v>
      </c>
      <c r="D29" s="40" t="s">
        <v>637</v>
      </c>
      <c r="E29" s="41" t="s">
        <v>113</v>
      </c>
      <c r="F29" s="41" t="s">
        <v>640</v>
      </c>
      <c r="G29" s="295">
        <v>2</v>
      </c>
      <c r="H29" s="40" t="s">
        <v>132</v>
      </c>
      <c r="I29" s="31"/>
      <c r="L29" s="74">
        <f t="shared" si="0"/>
        <v>2</v>
      </c>
    </row>
    <row r="30" spans="1:12" s="10" customFormat="1" ht="29.25" customHeight="1">
      <c r="A30" s="296"/>
      <c r="B30" s="260" t="s">
        <v>641</v>
      </c>
      <c r="C30" s="261"/>
      <c r="D30" s="262"/>
      <c r="E30" s="263"/>
      <c r="F30" s="263"/>
      <c r="G30" s="297">
        <f>SUM(G23:G29)</f>
        <v>7700</v>
      </c>
      <c r="H30" s="265"/>
      <c r="I30" s="31"/>
      <c r="L30" s="267">
        <f t="shared" si="0"/>
        <v>7700</v>
      </c>
    </row>
    <row r="31" spans="1:12" ht="33" customHeight="1">
      <c r="A31" s="37">
        <v>29</v>
      </c>
      <c r="B31" s="38" t="s">
        <v>137</v>
      </c>
      <c r="C31" s="52" t="s">
        <v>138</v>
      </c>
      <c r="D31" s="40" t="s">
        <v>642</v>
      </c>
      <c r="E31" s="41" t="s">
        <v>579</v>
      </c>
      <c r="F31" s="69">
        <f>G31/2878.55</f>
        <v>2.640218165395772</v>
      </c>
      <c r="G31" s="295">
        <v>7600</v>
      </c>
      <c r="H31" s="40" t="s">
        <v>63</v>
      </c>
      <c r="I31" s="31"/>
      <c r="L31" s="74"/>
    </row>
    <row r="32" spans="1:12" s="10" customFormat="1" ht="30" customHeight="1">
      <c r="A32" s="296"/>
      <c r="B32" s="260" t="s">
        <v>643</v>
      </c>
      <c r="C32" s="261"/>
      <c r="D32" s="262"/>
      <c r="E32" s="263"/>
      <c r="F32" s="263"/>
      <c r="G32" s="297">
        <f>G31</f>
        <v>7600</v>
      </c>
      <c r="H32" s="265"/>
      <c r="I32" s="31"/>
      <c r="L32" s="267"/>
    </row>
    <row r="33" spans="1:11" ht="31.5" customHeight="1">
      <c r="A33" s="37">
        <v>30</v>
      </c>
      <c r="B33" s="38" t="s">
        <v>244</v>
      </c>
      <c r="C33" s="54" t="s">
        <v>245</v>
      </c>
      <c r="D33" s="40" t="s">
        <v>644</v>
      </c>
      <c r="E33" s="41" t="s">
        <v>110</v>
      </c>
      <c r="F33" s="53">
        <v>3.789314</v>
      </c>
      <c r="G33" s="295">
        <v>48.21</v>
      </c>
      <c r="H33" s="40" t="s">
        <v>63</v>
      </c>
      <c r="I33" s="31"/>
      <c r="K33" s="12">
        <f>11.23</f>
        <v>11.23</v>
      </c>
    </row>
    <row r="34" spans="1:9" ht="30.75" customHeight="1">
      <c r="A34" s="37">
        <v>31</v>
      </c>
      <c r="B34" s="38" t="s">
        <v>645</v>
      </c>
      <c r="C34" s="55" t="s">
        <v>518</v>
      </c>
      <c r="D34" s="40" t="s">
        <v>644</v>
      </c>
      <c r="E34" s="41" t="s">
        <v>110</v>
      </c>
      <c r="F34" s="53">
        <v>3.789314</v>
      </c>
      <c r="G34" s="295">
        <v>51.79</v>
      </c>
      <c r="H34" s="40" t="s">
        <v>63</v>
      </c>
      <c r="I34" s="31"/>
    </row>
    <row r="35" spans="1:9" s="10" customFormat="1" ht="30" customHeight="1">
      <c r="A35" s="296"/>
      <c r="B35" s="260" t="s">
        <v>646</v>
      </c>
      <c r="C35" s="261"/>
      <c r="D35" s="262"/>
      <c r="E35" s="263"/>
      <c r="F35" s="263"/>
      <c r="G35" s="297">
        <f>SUM(G33:G34)</f>
        <v>100</v>
      </c>
      <c r="H35" s="265"/>
      <c r="I35" s="31"/>
    </row>
    <row r="36" spans="1:9" ht="30.75" customHeight="1">
      <c r="A36" s="37">
        <v>32</v>
      </c>
      <c r="B36" s="38" t="s">
        <v>142</v>
      </c>
      <c r="C36" s="54" t="s">
        <v>143</v>
      </c>
      <c r="D36" s="40" t="s">
        <v>647</v>
      </c>
      <c r="E36" s="41" t="s">
        <v>145</v>
      </c>
      <c r="F36" s="56">
        <f>G36/4.143</f>
        <v>193.09678976587014</v>
      </c>
      <c r="G36" s="295">
        <v>800</v>
      </c>
      <c r="H36" s="40" t="s">
        <v>63</v>
      </c>
      <c r="I36" s="31"/>
    </row>
    <row r="37" spans="1:9" s="10" customFormat="1" ht="30" customHeight="1">
      <c r="A37" s="296"/>
      <c r="B37" s="260" t="s">
        <v>648</v>
      </c>
      <c r="C37" s="261"/>
      <c r="D37" s="262"/>
      <c r="E37" s="263"/>
      <c r="F37" s="263"/>
      <c r="G37" s="297">
        <f>SUM(G36)</f>
        <v>800</v>
      </c>
      <c r="H37" s="265"/>
      <c r="I37" s="31"/>
    </row>
    <row r="38" spans="1:9" ht="22.5" customHeight="1">
      <c r="A38" s="102"/>
      <c r="B38" s="103" t="s">
        <v>151</v>
      </c>
      <c r="C38" s="103"/>
      <c r="D38" s="103"/>
      <c r="E38" s="103"/>
      <c r="F38" s="103"/>
      <c r="G38" s="303"/>
      <c r="H38" s="105"/>
      <c r="I38" s="141"/>
    </row>
    <row r="39" spans="1:9" ht="22.5" customHeight="1">
      <c r="A39" s="19"/>
      <c r="B39" s="106" t="s">
        <v>152</v>
      </c>
      <c r="C39" s="107"/>
      <c r="D39" s="108" t="s">
        <v>153</v>
      </c>
      <c r="E39" s="109"/>
      <c r="F39" s="109"/>
      <c r="G39" s="304"/>
      <c r="H39" s="8"/>
      <c r="I39" s="141"/>
    </row>
    <row r="40" spans="1:9" ht="22.5" customHeight="1">
      <c r="A40" s="19"/>
      <c r="B40" s="111"/>
      <c r="C40" s="9"/>
      <c r="D40" s="112" t="s">
        <v>154</v>
      </c>
      <c r="E40" s="113" t="s">
        <v>155</v>
      </c>
      <c r="F40" s="114"/>
      <c r="G40" s="304"/>
      <c r="H40" s="8"/>
      <c r="I40" s="141"/>
    </row>
    <row r="41" spans="1:9" ht="22.5" customHeight="1">
      <c r="A41" s="19"/>
      <c r="B41" s="115" t="s">
        <v>156</v>
      </c>
      <c r="C41" s="116"/>
      <c r="D41" s="108" t="s">
        <v>157</v>
      </c>
      <c r="E41" s="109"/>
      <c r="F41" s="109"/>
      <c r="G41" s="304"/>
      <c r="H41" s="8"/>
      <c r="I41" s="141"/>
    </row>
    <row r="42" spans="1:9" ht="22.5" customHeight="1">
      <c r="A42" s="19"/>
      <c r="B42" s="111"/>
      <c r="C42" s="9"/>
      <c r="D42" s="112" t="s">
        <v>154</v>
      </c>
      <c r="E42" s="113"/>
      <c r="F42" s="114"/>
      <c r="G42" s="304"/>
      <c r="H42" s="8"/>
      <c r="I42" s="141"/>
    </row>
    <row r="43" spans="1:9" ht="22.5" customHeight="1">
      <c r="A43" s="19"/>
      <c r="B43" s="115" t="s">
        <v>158</v>
      </c>
      <c r="C43" s="9"/>
      <c r="D43" s="9"/>
      <c r="E43" s="9"/>
      <c r="F43" s="9"/>
      <c r="G43" s="304"/>
      <c r="H43" s="8"/>
      <c r="I43" s="141"/>
    </row>
    <row r="44" spans="1:9" s="2" customFormat="1" ht="30" customHeight="1">
      <c r="A44" s="169"/>
      <c r="B44" s="305" t="s">
        <v>159</v>
      </c>
      <c r="C44" s="116"/>
      <c r="D44" s="306" t="s">
        <v>160</v>
      </c>
      <c r="E44" s="306"/>
      <c r="F44" s="306"/>
      <c r="G44" s="307"/>
      <c r="H44" s="171"/>
      <c r="I44" s="191"/>
    </row>
    <row r="45" spans="1:9" ht="22.5" customHeight="1">
      <c r="A45" s="19"/>
      <c r="B45" s="119" t="s">
        <v>486</v>
      </c>
      <c r="C45" s="119"/>
      <c r="D45" s="119"/>
      <c r="E45" s="9"/>
      <c r="F45" s="9"/>
      <c r="G45" s="304"/>
      <c r="H45" s="8"/>
      <c r="I45" s="141"/>
    </row>
  </sheetData>
  <sheetProtection/>
  <mergeCells count="23">
    <mergeCell ref="A8:I8"/>
    <mergeCell ref="A9:I9"/>
    <mergeCell ref="A10:I10"/>
    <mergeCell ref="F11:G11"/>
    <mergeCell ref="A12:I12"/>
    <mergeCell ref="A13:I13"/>
    <mergeCell ref="A14:I14"/>
    <mergeCell ref="B22:C22"/>
    <mergeCell ref="B30:C30"/>
    <mergeCell ref="B32:C32"/>
    <mergeCell ref="B35:C35"/>
    <mergeCell ref="B37:C37"/>
    <mergeCell ref="A16:A18"/>
    <mergeCell ref="B16:B18"/>
    <mergeCell ref="C16:C18"/>
    <mergeCell ref="D1:D5"/>
    <mergeCell ref="D16:D18"/>
    <mergeCell ref="E16:E18"/>
    <mergeCell ref="F16:F18"/>
    <mergeCell ref="G16:G18"/>
    <mergeCell ref="H16:H18"/>
    <mergeCell ref="I16:I18"/>
    <mergeCell ref="I20:I37"/>
  </mergeCell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01"/>
  <sheetViews>
    <sheetView view="pageBreakPreview" zoomScale="90" zoomScaleNormal="90" zoomScaleSheetLayoutView="90" workbookViewId="0" topLeftCell="A52">
      <selection activeCell="B47" sqref="B47:C75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317" t="s">
        <v>162</v>
      </c>
      <c r="B2" s="317"/>
      <c r="C2" s="317"/>
      <c r="D2" s="317"/>
      <c r="E2" s="317"/>
      <c r="F2" s="317"/>
      <c r="G2" s="317"/>
      <c r="H2" s="317"/>
      <c r="I2" s="317"/>
    </row>
    <row r="3" spans="3:9" ht="15" customHeight="1">
      <c r="C3" s="145"/>
      <c r="D3" s="60" t="s">
        <v>4</v>
      </c>
      <c r="E3" s="145"/>
      <c r="F3" s="145"/>
      <c r="G3" s="309"/>
      <c r="H3" s="61"/>
      <c r="I3" s="61"/>
    </row>
    <row r="4" ht="15" customHeight="1"/>
    <row r="5" spans="1:11" ht="15.75" customHeight="1">
      <c r="A5" s="26" t="s">
        <v>5</v>
      </c>
      <c r="B5" s="27" t="s">
        <v>6</v>
      </c>
      <c r="C5" s="28" t="s">
        <v>7</v>
      </c>
      <c r="D5" s="63" t="s">
        <v>8</v>
      </c>
      <c r="E5" s="28" t="s">
        <v>9</v>
      </c>
      <c r="F5" s="28" t="s">
        <v>10</v>
      </c>
      <c r="G5" s="63" t="s">
        <v>11</v>
      </c>
      <c r="H5" s="63" t="s">
        <v>12</v>
      </c>
      <c r="I5" s="63" t="s">
        <v>13</v>
      </c>
      <c r="J5" s="71"/>
      <c r="K5" s="71"/>
    </row>
    <row r="6" spans="1:9" ht="31.5" customHeight="1">
      <c r="A6" s="29"/>
      <c r="B6" s="30"/>
      <c r="C6" s="31"/>
      <c r="D6" s="65"/>
      <c r="E6" s="31"/>
      <c r="F6" s="31"/>
      <c r="G6" s="65"/>
      <c r="H6" s="65"/>
      <c r="I6" s="65"/>
    </row>
    <row r="7" spans="1:9" ht="37.5" customHeight="1">
      <c r="A7" s="32"/>
      <c r="B7" s="33"/>
      <c r="C7" s="34"/>
      <c r="D7" s="67"/>
      <c r="E7" s="34"/>
      <c r="F7" s="34"/>
      <c r="G7" s="67"/>
      <c r="H7" s="67"/>
      <c r="I7" s="67"/>
    </row>
    <row r="8" spans="1:9" ht="20.25" customHeight="1">
      <c r="A8" s="32">
        <v>1</v>
      </c>
      <c r="B8" s="33">
        <v>2</v>
      </c>
      <c r="C8" s="34">
        <v>3</v>
      </c>
      <c r="D8" s="67">
        <v>4</v>
      </c>
      <c r="E8" s="34">
        <v>5</v>
      </c>
      <c r="F8" s="34">
        <v>6</v>
      </c>
      <c r="G8" s="67">
        <v>7</v>
      </c>
      <c r="H8" s="67">
        <v>8</v>
      </c>
      <c r="I8" s="76">
        <v>9</v>
      </c>
    </row>
    <row r="9" spans="1:12" s="357" customFormat="1" ht="30" customHeight="1">
      <c r="A9" s="269">
        <v>805</v>
      </c>
      <c r="B9" s="98" t="s">
        <v>15</v>
      </c>
      <c r="C9" s="358" t="s">
        <v>16</v>
      </c>
      <c r="D9" s="359" t="s">
        <v>17</v>
      </c>
      <c r="E9" s="360" t="s">
        <v>18</v>
      </c>
      <c r="F9" s="361">
        <v>15</v>
      </c>
      <c r="G9" s="139">
        <v>3150</v>
      </c>
      <c r="H9" s="362" t="s">
        <v>63</v>
      </c>
      <c r="I9" s="63"/>
      <c r="L9" s="371">
        <f>G9-K9</f>
        <v>3150</v>
      </c>
    </row>
    <row r="10" spans="1:12" s="357" customFormat="1" ht="60" customHeight="1">
      <c r="A10" s="269">
        <v>806</v>
      </c>
      <c r="B10" s="98" t="s">
        <v>163</v>
      </c>
      <c r="C10" s="363" t="s">
        <v>164</v>
      </c>
      <c r="D10" s="359" t="s">
        <v>17</v>
      </c>
      <c r="E10" s="360" t="s">
        <v>165</v>
      </c>
      <c r="F10" s="361">
        <v>1</v>
      </c>
      <c r="G10" s="139">
        <v>660.02</v>
      </c>
      <c r="H10" s="362" t="s">
        <v>63</v>
      </c>
      <c r="I10" s="63"/>
      <c r="L10" s="371"/>
    </row>
    <row r="11" spans="1:12" s="357" customFormat="1" ht="30" customHeight="1">
      <c r="A11" s="269">
        <v>807</v>
      </c>
      <c r="B11" s="98" t="s">
        <v>166</v>
      </c>
      <c r="C11" s="363" t="s">
        <v>16</v>
      </c>
      <c r="D11" s="359" t="s">
        <v>17</v>
      </c>
      <c r="E11" s="360" t="s">
        <v>25</v>
      </c>
      <c r="F11" s="361">
        <v>20</v>
      </c>
      <c r="G11" s="139">
        <v>404.6</v>
      </c>
      <c r="H11" s="362" t="s">
        <v>63</v>
      </c>
      <c r="I11" s="63"/>
      <c r="L11" s="371"/>
    </row>
    <row r="12" spans="1:12" s="357" customFormat="1" ht="45" customHeight="1">
      <c r="A12" s="269">
        <v>808</v>
      </c>
      <c r="B12" s="98" t="s">
        <v>167</v>
      </c>
      <c r="C12" s="363" t="s">
        <v>168</v>
      </c>
      <c r="D12" s="359" t="s">
        <v>17</v>
      </c>
      <c r="E12" s="360" t="s">
        <v>25</v>
      </c>
      <c r="F12" s="361">
        <v>6</v>
      </c>
      <c r="G12" s="139">
        <v>518.88</v>
      </c>
      <c r="H12" s="362" t="s">
        <v>63</v>
      </c>
      <c r="I12" s="63"/>
      <c r="L12" s="371"/>
    </row>
    <row r="13" spans="1:12" s="357" customFormat="1" ht="30" customHeight="1">
      <c r="A13" s="269">
        <v>809</v>
      </c>
      <c r="B13" s="98" t="s">
        <v>169</v>
      </c>
      <c r="C13" s="363" t="s">
        <v>24</v>
      </c>
      <c r="D13" s="359" t="s">
        <v>17</v>
      </c>
      <c r="E13" s="360" t="s">
        <v>25</v>
      </c>
      <c r="F13" s="361">
        <v>11</v>
      </c>
      <c r="G13" s="139">
        <v>157.63</v>
      </c>
      <c r="H13" s="362" t="s">
        <v>63</v>
      </c>
      <c r="I13" s="63"/>
      <c r="L13" s="371"/>
    </row>
    <row r="14" spans="1:12" s="357" customFormat="1" ht="30" customHeight="1">
      <c r="A14" s="269">
        <v>810</v>
      </c>
      <c r="B14" s="98" t="s">
        <v>170</v>
      </c>
      <c r="C14" s="363" t="s">
        <v>171</v>
      </c>
      <c r="D14" s="359" t="s">
        <v>17</v>
      </c>
      <c r="E14" s="360" t="s">
        <v>25</v>
      </c>
      <c r="F14" s="361">
        <v>10</v>
      </c>
      <c r="G14" s="139">
        <v>190.2</v>
      </c>
      <c r="H14" s="362" t="s">
        <v>63</v>
      </c>
      <c r="I14" s="63"/>
      <c r="L14" s="371"/>
    </row>
    <row r="15" spans="1:12" s="357" customFormat="1" ht="30" customHeight="1">
      <c r="A15" s="269">
        <v>811</v>
      </c>
      <c r="B15" s="98" t="s">
        <v>172</v>
      </c>
      <c r="C15" s="363" t="s">
        <v>24</v>
      </c>
      <c r="D15" s="359" t="s">
        <v>17</v>
      </c>
      <c r="E15" s="360" t="s">
        <v>25</v>
      </c>
      <c r="F15" s="361">
        <v>1</v>
      </c>
      <c r="G15" s="139">
        <v>124.06</v>
      </c>
      <c r="H15" s="362" t="s">
        <v>63</v>
      </c>
      <c r="I15" s="63"/>
      <c r="L15" s="371"/>
    </row>
    <row r="16" spans="1:12" s="357" customFormat="1" ht="60" customHeight="1">
      <c r="A16" s="269">
        <v>812</v>
      </c>
      <c r="B16" s="98" t="s">
        <v>173</v>
      </c>
      <c r="C16" s="363" t="s">
        <v>21</v>
      </c>
      <c r="D16" s="359" t="s">
        <v>17</v>
      </c>
      <c r="E16" s="360" t="s">
        <v>165</v>
      </c>
      <c r="F16" s="361">
        <v>2</v>
      </c>
      <c r="G16" s="139">
        <v>740.88</v>
      </c>
      <c r="H16" s="362" t="s">
        <v>63</v>
      </c>
      <c r="I16" s="63"/>
      <c r="L16" s="371"/>
    </row>
    <row r="17" spans="1:12" s="357" customFormat="1" ht="30" customHeight="1">
      <c r="A17" s="269">
        <v>813</v>
      </c>
      <c r="B17" s="98" t="s">
        <v>174</v>
      </c>
      <c r="C17" s="363" t="s">
        <v>24</v>
      </c>
      <c r="D17" s="359" t="s">
        <v>17</v>
      </c>
      <c r="E17" s="360" t="s">
        <v>25</v>
      </c>
      <c r="F17" s="361">
        <v>4</v>
      </c>
      <c r="G17" s="139">
        <v>697.96</v>
      </c>
      <c r="H17" s="362" t="s">
        <v>63</v>
      </c>
      <c r="I17" s="63"/>
      <c r="L17" s="371"/>
    </row>
    <row r="18" spans="1:12" s="357" customFormat="1" ht="30" customHeight="1">
      <c r="A18" s="269">
        <v>814</v>
      </c>
      <c r="B18" s="98" t="s">
        <v>175</v>
      </c>
      <c r="C18" s="363" t="s">
        <v>16</v>
      </c>
      <c r="D18" s="359" t="s">
        <v>17</v>
      </c>
      <c r="E18" s="360" t="s">
        <v>25</v>
      </c>
      <c r="F18" s="361">
        <v>20</v>
      </c>
      <c r="G18" s="139">
        <v>264.8</v>
      </c>
      <c r="H18" s="362" t="s">
        <v>63</v>
      </c>
      <c r="I18" s="63"/>
      <c r="L18" s="371"/>
    </row>
    <row r="19" spans="1:12" s="357" customFormat="1" ht="30" customHeight="1">
      <c r="A19" s="269">
        <v>815</v>
      </c>
      <c r="B19" s="98" t="s">
        <v>176</v>
      </c>
      <c r="C19" s="363" t="s">
        <v>16</v>
      </c>
      <c r="D19" s="359" t="s">
        <v>17</v>
      </c>
      <c r="E19" s="360" t="s">
        <v>25</v>
      </c>
      <c r="F19" s="361">
        <v>10</v>
      </c>
      <c r="G19" s="139">
        <v>200</v>
      </c>
      <c r="H19" s="362" t="s">
        <v>63</v>
      </c>
      <c r="I19" s="63"/>
      <c r="L19" s="371"/>
    </row>
    <row r="20" spans="1:12" s="357" customFormat="1" ht="30" customHeight="1">
      <c r="A20" s="269">
        <v>816</v>
      </c>
      <c r="B20" s="98" t="s">
        <v>177</v>
      </c>
      <c r="C20" s="363" t="s">
        <v>16</v>
      </c>
      <c r="D20" s="359" t="s">
        <v>17</v>
      </c>
      <c r="E20" s="360" t="s">
        <v>25</v>
      </c>
      <c r="F20" s="361">
        <v>100</v>
      </c>
      <c r="G20" s="139">
        <v>288</v>
      </c>
      <c r="H20" s="362" t="s">
        <v>63</v>
      </c>
      <c r="I20" s="63"/>
      <c r="L20" s="371"/>
    </row>
    <row r="21" spans="1:12" s="357" customFormat="1" ht="30" customHeight="1">
      <c r="A21" s="269">
        <v>817</v>
      </c>
      <c r="B21" s="98" t="s">
        <v>178</v>
      </c>
      <c r="C21" s="363" t="s">
        <v>179</v>
      </c>
      <c r="D21" s="359" t="s">
        <v>17</v>
      </c>
      <c r="E21" s="360" t="s">
        <v>25</v>
      </c>
      <c r="F21" s="361">
        <v>2</v>
      </c>
      <c r="G21" s="139">
        <v>199.84</v>
      </c>
      <c r="H21" s="362" t="s">
        <v>63</v>
      </c>
      <c r="I21" s="63"/>
      <c r="L21" s="371"/>
    </row>
    <row r="22" spans="1:12" s="357" customFormat="1" ht="30" customHeight="1">
      <c r="A22" s="269">
        <v>818</v>
      </c>
      <c r="B22" s="98" t="s">
        <v>180</v>
      </c>
      <c r="C22" s="363" t="s">
        <v>31</v>
      </c>
      <c r="D22" s="359" t="s">
        <v>17</v>
      </c>
      <c r="E22" s="360" t="s">
        <v>165</v>
      </c>
      <c r="F22" s="361">
        <v>10</v>
      </c>
      <c r="G22" s="139">
        <v>262.6</v>
      </c>
      <c r="H22" s="362" t="s">
        <v>63</v>
      </c>
      <c r="I22" s="63"/>
      <c r="L22" s="371"/>
    </row>
    <row r="23" spans="1:12" s="357" customFormat="1" ht="30" customHeight="1">
      <c r="A23" s="269">
        <v>819</v>
      </c>
      <c r="B23" s="98" t="s">
        <v>181</v>
      </c>
      <c r="C23" s="363" t="s">
        <v>24</v>
      </c>
      <c r="D23" s="359" t="s">
        <v>17</v>
      </c>
      <c r="E23" s="360" t="s">
        <v>165</v>
      </c>
      <c r="F23" s="361">
        <v>10</v>
      </c>
      <c r="G23" s="139">
        <v>356.8</v>
      </c>
      <c r="H23" s="362" t="s">
        <v>63</v>
      </c>
      <c r="I23" s="63"/>
      <c r="L23" s="371"/>
    </row>
    <row r="24" spans="1:12" s="357" customFormat="1" ht="30" customHeight="1">
      <c r="A24" s="269">
        <v>820</v>
      </c>
      <c r="B24" s="98" t="s">
        <v>182</v>
      </c>
      <c r="C24" s="363" t="s">
        <v>183</v>
      </c>
      <c r="D24" s="359" t="s">
        <v>17</v>
      </c>
      <c r="E24" s="360" t="s">
        <v>184</v>
      </c>
      <c r="F24" s="361">
        <v>80</v>
      </c>
      <c r="G24" s="139">
        <v>7060</v>
      </c>
      <c r="H24" s="362" t="s">
        <v>63</v>
      </c>
      <c r="I24" s="63"/>
      <c r="L24" s="371"/>
    </row>
    <row r="25" spans="1:12" s="357" customFormat="1" ht="30" customHeight="1">
      <c r="A25" s="269">
        <v>821</v>
      </c>
      <c r="B25" s="98" t="s">
        <v>185</v>
      </c>
      <c r="C25" s="363" t="s">
        <v>44</v>
      </c>
      <c r="D25" s="359" t="s">
        <v>17</v>
      </c>
      <c r="E25" s="360" t="s">
        <v>25</v>
      </c>
      <c r="F25" s="361">
        <v>12</v>
      </c>
      <c r="G25" s="139">
        <v>240</v>
      </c>
      <c r="H25" s="362" t="s">
        <v>63</v>
      </c>
      <c r="I25" s="63"/>
      <c r="L25" s="371"/>
    </row>
    <row r="26" spans="1:12" s="357" customFormat="1" ht="30" customHeight="1">
      <c r="A26" s="269">
        <v>822</v>
      </c>
      <c r="B26" s="98" t="s">
        <v>186</v>
      </c>
      <c r="C26" s="363" t="s">
        <v>179</v>
      </c>
      <c r="D26" s="359" t="s">
        <v>17</v>
      </c>
      <c r="E26" s="360" t="s">
        <v>25</v>
      </c>
      <c r="F26" s="361">
        <v>4</v>
      </c>
      <c r="G26" s="139">
        <v>472.72</v>
      </c>
      <c r="H26" s="362" t="s">
        <v>63</v>
      </c>
      <c r="I26" s="63"/>
      <c r="L26" s="371"/>
    </row>
    <row r="27" spans="1:12" s="357" customFormat="1" ht="30" customHeight="1">
      <c r="A27" s="269">
        <v>823</v>
      </c>
      <c r="B27" s="98" t="s">
        <v>187</v>
      </c>
      <c r="C27" s="363" t="s">
        <v>24</v>
      </c>
      <c r="D27" s="359" t="s">
        <v>17</v>
      </c>
      <c r="E27" s="360" t="s">
        <v>25</v>
      </c>
      <c r="F27" s="361">
        <v>2</v>
      </c>
      <c r="G27" s="139">
        <v>360</v>
      </c>
      <c r="H27" s="362" t="s">
        <v>63</v>
      </c>
      <c r="I27" s="63"/>
      <c r="L27" s="371"/>
    </row>
    <row r="28" spans="1:12" s="357" customFormat="1" ht="30" customHeight="1">
      <c r="A28" s="269">
        <v>824</v>
      </c>
      <c r="B28" s="98" t="s">
        <v>188</v>
      </c>
      <c r="C28" s="363" t="s">
        <v>24</v>
      </c>
      <c r="D28" s="359" t="s">
        <v>17</v>
      </c>
      <c r="E28" s="360" t="s">
        <v>25</v>
      </c>
      <c r="F28" s="361">
        <v>2</v>
      </c>
      <c r="G28" s="139">
        <v>293.18</v>
      </c>
      <c r="H28" s="362" t="s">
        <v>63</v>
      </c>
      <c r="I28" s="63"/>
      <c r="L28" s="371"/>
    </row>
    <row r="29" spans="1:12" s="357" customFormat="1" ht="30" customHeight="1">
      <c r="A29" s="269">
        <v>825</v>
      </c>
      <c r="B29" s="98" t="s">
        <v>189</v>
      </c>
      <c r="C29" s="363" t="s">
        <v>44</v>
      </c>
      <c r="D29" s="359" t="s">
        <v>17</v>
      </c>
      <c r="E29" s="360" t="s">
        <v>25</v>
      </c>
      <c r="F29" s="361">
        <v>1</v>
      </c>
      <c r="G29" s="139">
        <v>413</v>
      </c>
      <c r="H29" s="362" t="s">
        <v>63</v>
      </c>
      <c r="I29" s="63"/>
      <c r="L29" s="371"/>
    </row>
    <row r="30" spans="1:12" s="357" customFormat="1" ht="30" customHeight="1">
      <c r="A30" s="269">
        <v>826</v>
      </c>
      <c r="B30" s="98" t="s">
        <v>190</v>
      </c>
      <c r="C30" s="363" t="s">
        <v>191</v>
      </c>
      <c r="D30" s="359" t="s">
        <v>17</v>
      </c>
      <c r="E30" s="360" t="s">
        <v>25</v>
      </c>
      <c r="F30" s="361">
        <v>1</v>
      </c>
      <c r="G30" s="139">
        <v>427</v>
      </c>
      <c r="H30" s="362" t="s">
        <v>63</v>
      </c>
      <c r="I30" s="63"/>
      <c r="L30" s="371"/>
    </row>
    <row r="31" spans="1:12" s="357" customFormat="1" ht="30" customHeight="1">
      <c r="A31" s="269">
        <v>827</v>
      </c>
      <c r="B31" s="98" t="s">
        <v>192</v>
      </c>
      <c r="C31" s="363" t="s">
        <v>33</v>
      </c>
      <c r="D31" s="359" t="s">
        <v>17</v>
      </c>
      <c r="E31" s="360" t="s">
        <v>193</v>
      </c>
      <c r="F31" s="361">
        <v>60</v>
      </c>
      <c r="G31" s="139">
        <v>7200</v>
      </c>
      <c r="H31" s="362" t="s">
        <v>63</v>
      </c>
      <c r="I31" s="63"/>
      <c r="L31" s="371"/>
    </row>
    <row r="32" spans="1:12" s="357" customFormat="1" ht="30" customHeight="1">
      <c r="A32" s="269">
        <v>828</v>
      </c>
      <c r="B32" s="98" t="s">
        <v>194</v>
      </c>
      <c r="C32" s="363" t="s">
        <v>52</v>
      </c>
      <c r="D32" s="359" t="s">
        <v>17</v>
      </c>
      <c r="E32" s="360" t="s">
        <v>25</v>
      </c>
      <c r="F32" s="361">
        <v>50</v>
      </c>
      <c r="G32" s="139">
        <v>930.5</v>
      </c>
      <c r="H32" s="362" t="s">
        <v>63</v>
      </c>
      <c r="I32" s="63"/>
      <c r="L32" s="371"/>
    </row>
    <row r="33" spans="1:12" s="357" customFormat="1" ht="30" customHeight="1">
      <c r="A33" s="269">
        <v>829</v>
      </c>
      <c r="B33" s="98" t="s">
        <v>195</v>
      </c>
      <c r="C33" s="363" t="s">
        <v>47</v>
      </c>
      <c r="D33" s="359" t="s">
        <v>17</v>
      </c>
      <c r="E33" s="360" t="s">
        <v>48</v>
      </c>
      <c r="F33" s="361">
        <v>12</v>
      </c>
      <c r="G33" s="139">
        <v>664.92</v>
      </c>
      <c r="H33" s="362" t="s">
        <v>63</v>
      </c>
      <c r="I33" s="63"/>
      <c r="L33" s="371"/>
    </row>
    <row r="34" spans="1:12" s="357" customFormat="1" ht="30" customHeight="1">
      <c r="A34" s="269">
        <v>830</v>
      </c>
      <c r="B34" s="98" t="s">
        <v>196</v>
      </c>
      <c r="C34" s="363" t="s">
        <v>197</v>
      </c>
      <c r="D34" s="359" t="s">
        <v>17</v>
      </c>
      <c r="E34" s="360" t="s">
        <v>25</v>
      </c>
      <c r="F34" s="361">
        <v>100</v>
      </c>
      <c r="G34" s="139">
        <v>63</v>
      </c>
      <c r="H34" s="362" t="s">
        <v>63</v>
      </c>
      <c r="I34" s="63"/>
      <c r="L34" s="371"/>
    </row>
    <row r="35" spans="1:12" s="357" customFormat="1" ht="30" customHeight="1">
      <c r="A35" s="269">
        <v>831</v>
      </c>
      <c r="B35" s="98" t="s">
        <v>198</v>
      </c>
      <c r="C35" s="363" t="s">
        <v>197</v>
      </c>
      <c r="D35" s="359" t="s">
        <v>17</v>
      </c>
      <c r="E35" s="360" t="s">
        <v>25</v>
      </c>
      <c r="F35" s="361">
        <v>100</v>
      </c>
      <c r="G35" s="139">
        <v>65</v>
      </c>
      <c r="H35" s="362" t="s">
        <v>63</v>
      </c>
      <c r="I35" s="63"/>
      <c r="L35" s="371"/>
    </row>
    <row r="36" spans="1:12" s="357" customFormat="1" ht="30" customHeight="1">
      <c r="A36" s="269">
        <v>832</v>
      </c>
      <c r="B36" s="98" t="s">
        <v>199</v>
      </c>
      <c r="C36" s="363" t="s">
        <v>200</v>
      </c>
      <c r="D36" s="359" t="s">
        <v>17</v>
      </c>
      <c r="E36" s="360" t="s">
        <v>25</v>
      </c>
      <c r="F36" s="361">
        <v>15</v>
      </c>
      <c r="G36" s="139">
        <v>3015</v>
      </c>
      <c r="H36" s="362" t="s">
        <v>63</v>
      </c>
      <c r="I36" s="63"/>
      <c r="L36" s="371"/>
    </row>
    <row r="37" spans="1:12" s="357" customFormat="1" ht="59.25" customHeight="1">
      <c r="A37" s="269">
        <v>833</v>
      </c>
      <c r="B37" s="98" t="s">
        <v>201</v>
      </c>
      <c r="C37" s="363" t="s">
        <v>21</v>
      </c>
      <c r="D37" s="359" t="s">
        <v>17</v>
      </c>
      <c r="E37" s="360" t="s">
        <v>25</v>
      </c>
      <c r="F37" s="361">
        <v>1</v>
      </c>
      <c r="G37" s="139">
        <v>90.92</v>
      </c>
      <c r="H37" s="362" t="s">
        <v>63</v>
      </c>
      <c r="I37" s="63"/>
      <c r="L37" s="371"/>
    </row>
    <row r="38" spans="1:12" s="357" customFormat="1" ht="30" customHeight="1">
      <c r="A38" s="269">
        <v>834</v>
      </c>
      <c r="B38" s="98" t="s">
        <v>202</v>
      </c>
      <c r="C38" s="99" t="s">
        <v>27</v>
      </c>
      <c r="D38" s="364" t="s">
        <v>17</v>
      </c>
      <c r="E38" s="361" t="s">
        <v>25</v>
      </c>
      <c r="F38" s="361">
        <v>20</v>
      </c>
      <c r="G38" s="139">
        <v>1187</v>
      </c>
      <c r="H38" s="362" t="s">
        <v>63</v>
      </c>
      <c r="I38" s="63"/>
      <c r="L38" s="371">
        <f>G38-K38</f>
        <v>1187</v>
      </c>
    </row>
    <row r="39" spans="1:12" ht="45" customHeight="1">
      <c r="A39" s="269">
        <v>835</v>
      </c>
      <c r="B39" s="98" t="s">
        <v>203</v>
      </c>
      <c r="C39" s="277" t="s">
        <v>204</v>
      </c>
      <c r="D39" s="99" t="s">
        <v>17</v>
      </c>
      <c r="E39" s="162" t="s">
        <v>205</v>
      </c>
      <c r="F39" s="278">
        <v>54.7824</v>
      </c>
      <c r="G39" s="279">
        <f>144979.98+11.8</f>
        <v>144991.78</v>
      </c>
      <c r="H39" s="276" t="s">
        <v>63</v>
      </c>
      <c r="I39" s="63"/>
      <c r="L39" s="74"/>
    </row>
    <row r="40" spans="1:12" ht="45" customHeight="1">
      <c r="A40" s="269">
        <v>836</v>
      </c>
      <c r="B40" s="174" t="s">
        <v>206</v>
      </c>
      <c r="C40" s="174" t="s">
        <v>204</v>
      </c>
      <c r="D40" s="133" t="s">
        <v>17</v>
      </c>
      <c r="E40" s="138" t="s">
        <v>207</v>
      </c>
      <c r="F40" s="280">
        <v>28.8</v>
      </c>
      <c r="G40" s="279">
        <v>7900.7</v>
      </c>
      <c r="H40" s="276" t="s">
        <v>63</v>
      </c>
      <c r="I40" s="63"/>
      <c r="L40" s="74"/>
    </row>
    <row r="41" spans="1:12" ht="30" customHeight="1">
      <c r="A41" s="269">
        <v>837</v>
      </c>
      <c r="B41" s="221" t="s">
        <v>208</v>
      </c>
      <c r="C41" s="174" t="s">
        <v>209</v>
      </c>
      <c r="D41" s="133" t="s">
        <v>17</v>
      </c>
      <c r="E41" s="138" t="s">
        <v>210</v>
      </c>
      <c r="F41" s="280">
        <v>26.64</v>
      </c>
      <c r="G41" s="279">
        <v>5054.67</v>
      </c>
      <c r="H41" s="276" t="s">
        <v>63</v>
      </c>
      <c r="I41" s="63"/>
      <c r="L41" s="74"/>
    </row>
    <row r="42" spans="1:12" ht="30" customHeight="1">
      <c r="A42" s="269">
        <v>838</v>
      </c>
      <c r="B42" s="281" t="s">
        <v>211</v>
      </c>
      <c r="C42" s="174" t="s">
        <v>212</v>
      </c>
      <c r="D42" s="133" t="s">
        <v>17</v>
      </c>
      <c r="E42" s="138" t="s">
        <v>25</v>
      </c>
      <c r="F42" s="280">
        <v>5</v>
      </c>
      <c r="G42" s="279">
        <v>5300</v>
      </c>
      <c r="H42" s="276" t="s">
        <v>63</v>
      </c>
      <c r="I42" s="63"/>
      <c r="L42" s="74"/>
    </row>
    <row r="43" spans="1:12" s="357" customFormat="1" ht="45" customHeight="1">
      <c r="A43" s="269">
        <v>839</v>
      </c>
      <c r="B43" s="365" t="s">
        <v>213</v>
      </c>
      <c r="C43" s="363" t="s">
        <v>214</v>
      </c>
      <c r="D43" s="99" t="s">
        <v>17</v>
      </c>
      <c r="E43" s="366" t="s">
        <v>193</v>
      </c>
      <c r="F43" s="367">
        <f>190+135</f>
        <v>325</v>
      </c>
      <c r="G43" s="283">
        <f>3230+2295</f>
        <v>5525</v>
      </c>
      <c r="H43" s="362" t="s">
        <v>63</v>
      </c>
      <c r="I43" s="63"/>
      <c r="L43" s="371"/>
    </row>
    <row r="44" spans="1:12" ht="30" customHeight="1">
      <c r="A44" s="269">
        <v>840</v>
      </c>
      <c r="B44" s="38" t="s">
        <v>57</v>
      </c>
      <c r="C44" s="341" t="s">
        <v>58</v>
      </c>
      <c r="D44" s="40" t="s">
        <v>17</v>
      </c>
      <c r="E44" s="41" t="s">
        <v>25</v>
      </c>
      <c r="F44" s="342">
        <v>1</v>
      </c>
      <c r="G44" s="42">
        <v>2500.2</v>
      </c>
      <c r="H44" s="155" t="s">
        <v>63</v>
      </c>
      <c r="I44" s="63"/>
      <c r="L44" s="74"/>
    </row>
    <row r="45" spans="1:12" ht="43.5" customHeight="1">
      <c r="A45" s="269">
        <v>841</v>
      </c>
      <c r="B45" s="368" t="s">
        <v>215</v>
      </c>
      <c r="C45" s="99" t="s">
        <v>27</v>
      </c>
      <c r="D45" s="40" t="s">
        <v>17</v>
      </c>
      <c r="E45" s="41" t="s">
        <v>25</v>
      </c>
      <c r="F45" s="41">
        <v>3</v>
      </c>
      <c r="G45" s="42">
        <v>529.14</v>
      </c>
      <c r="H45" s="362" t="s">
        <v>63</v>
      </c>
      <c r="I45" s="63"/>
      <c r="L45" s="74"/>
    </row>
    <row r="46" spans="1:12" s="10" customFormat="1" ht="30" customHeight="1">
      <c r="A46" s="296"/>
      <c r="B46" s="335" t="s">
        <v>59</v>
      </c>
      <c r="C46" s="336"/>
      <c r="D46" s="262"/>
      <c r="E46" s="263"/>
      <c r="F46" s="263"/>
      <c r="G46" s="337">
        <f>SUM(G9:G45)</f>
        <v>202500.00000000003</v>
      </c>
      <c r="H46" s="265"/>
      <c r="I46" s="100"/>
      <c r="L46" s="267"/>
    </row>
    <row r="47" spans="1:12" s="357" customFormat="1" ht="30" customHeight="1">
      <c r="A47" s="37">
        <v>842</v>
      </c>
      <c r="B47" s="38" t="s">
        <v>216</v>
      </c>
      <c r="C47" s="40" t="s">
        <v>217</v>
      </c>
      <c r="D47" s="345" t="s">
        <v>62</v>
      </c>
      <c r="E47" s="369" t="s">
        <v>34</v>
      </c>
      <c r="F47" s="370">
        <v>12</v>
      </c>
      <c r="G47" s="158">
        <f>83.6+146.4</f>
        <v>230</v>
      </c>
      <c r="H47" s="362" t="s">
        <v>63</v>
      </c>
      <c r="I47" s="100"/>
      <c r="L47" s="371"/>
    </row>
    <row r="48" spans="1:12" s="357" customFormat="1" ht="30" customHeight="1">
      <c r="A48" s="37">
        <v>843</v>
      </c>
      <c r="B48" s="38" t="s">
        <v>64</v>
      </c>
      <c r="C48" s="40" t="s">
        <v>65</v>
      </c>
      <c r="D48" s="345" t="s">
        <v>62</v>
      </c>
      <c r="E48" s="369" t="s">
        <v>34</v>
      </c>
      <c r="F48" s="370">
        <v>300</v>
      </c>
      <c r="G48" s="158">
        <f>1750+3360</f>
        <v>5110</v>
      </c>
      <c r="H48" s="362" t="s">
        <v>63</v>
      </c>
      <c r="I48" s="100"/>
      <c r="L48" s="371"/>
    </row>
    <row r="49" spans="1:12" s="357" customFormat="1" ht="30" customHeight="1">
      <c r="A49" s="37">
        <v>844</v>
      </c>
      <c r="B49" s="71" t="s">
        <v>218</v>
      </c>
      <c r="C49" s="40" t="s">
        <v>219</v>
      </c>
      <c r="D49" s="345" t="s">
        <v>62</v>
      </c>
      <c r="E49" s="369" t="s">
        <v>34</v>
      </c>
      <c r="F49" s="370">
        <v>6</v>
      </c>
      <c r="G49" s="158">
        <f>45.6+92</f>
        <v>137.6</v>
      </c>
      <c r="H49" s="362" t="s">
        <v>63</v>
      </c>
      <c r="I49" s="100"/>
      <c r="L49" s="371"/>
    </row>
    <row r="50" spans="1:12" s="357" customFormat="1" ht="30" customHeight="1">
      <c r="A50" s="37">
        <v>845</v>
      </c>
      <c r="B50" s="38" t="s">
        <v>69</v>
      </c>
      <c r="C50" s="40" t="s">
        <v>70</v>
      </c>
      <c r="D50" s="345" t="s">
        <v>62</v>
      </c>
      <c r="E50" s="369" t="s">
        <v>34</v>
      </c>
      <c r="F50" s="370">
        <v>3</v>
      </c>
      <c r="G50" s="158">
        <v>60</v>
      </c>
      <c r="H50" s="362" t="s">
        <v>63</v>
      </c>
      <c r="I50" s="100"/>
      <c r="L50" s="371"/>
    </row>
    <row r="51" spans="1:12" s="357" customFormat="1" ht="30" customHeight="1">
      <c r="A51" s="37">
        <v>846</v>
      </c>
      <c r="B51" s="38" t="s">
        <v>71</v>
      </c>
      <c r="C51" s="71" t="s">
        <v>72</v>
      </c>
      <c r="D51" s="345" t="s">
        <v>62</v>
      </c>
      <c r="E51" s="369" t="s">
        <v>34</v>
      </c>
      <c r="F51" s="370">
        <v>26</v>
      </c>
      <c r="G51" s="158">
        <f>170+244.8</f>
        <v>414.8</v>
      </c>
      <c r="H51" s="362" t="s">
        <v>63</v>
      </c>
      <c r="I51" s="100"/>
      <c r="L51" s="371"/>
    </row>
    <row r="52" spans="1:12" s="357" customFormat="1" ht="45" customHeight="1">
      <c r="A52" s="37">
        <v>847</v>
      </c>
      <c r="B52" s="38" t="s">
        <v>73</v>
      </c>
      <c r="C52" s="40" t="s">
        <v>74</v>
      </c>
      <c r="D52" s="345" t="s">
        <v>62</v>
      </c>
      <c r="E52" s="369" t="s">
        <v>34</v>
      </c>
      <c r="F52" s="370">
        <v>16</v>
      </c>
      <c r="G52" s="158">
        <f>122+253</f>
        <v>375</v>
      </c>
      <c r="H52" s="362" t="s">
        <v>63</v>
      </c>
      <c r="I52" s="100"/>
      <c r="L52" s="371"/>
    </row>
    <row r="53" spans="1:12" s="357" customFormat="1" ht="30" customHeight="1">
      <c r="A53" s="37">
        <v>848</v>
      </c>
      <c r="B53" s="38" t="s">
        <v>75</v>
      </c>
      <c r="C53" s="71" t="s">
        <v>76</v>
      </c>
      <c r="D53" s="345" t="s">
        <v>62</v>
      </c>
      <c r="E53" s="369" t="s">
        <v>77</v>
      </c>
      <c r="F53" s="370">
        <v>35</v>
      </c>
      <c r="G53" s="158">
        <f>727+1905</f>
        <v>2632</v>
      </c>
      <c r="H53" s="362" t="s">
        <v>63</v>
      </c>
      <c r="I53" s="100"/>
      <c r="L53" s="371"/>
    </row>
    <row r="54" spans="1:12" s="357" customFormat="1" ht="30" customHeight="1">
      <c r="A54" s="37">
        <v>849</v>
      </c>
      <c r="B54" s="38" t="s">
        <v>78</v>
      </c>
      <c r="C54" s="40" t="s">
        <v>79</v>
      </c>
      <c r="D54" s="345" t="s">
        <v>62</v>
      </c>
      <c r="E54" s="369" t="s">
        <v>34</v>
      </c>
      <c r="F54" s="370">
        <v>17</v>
      </c>
      <c r="G54" s="158">
        <f>1538+3694.8</f>
        <v>5232.8</v>
      </c>
      <c r="H54" s="362" t="s">
        <v>63</v>
      </c>
      <c r="I54" s="100"/>
      <c r="L54" s="371"/>
    </row>
    <row r="55" spans="1:12" s="357" customFormat="1" ht="45" customHeight="1">
      <c r="A55" s="37">
        <v>850</v>
      </c>
      <c r="B55" s="38" t="s">
        <v>80</v>
      </c>
      <c r="C55" s="40" t="s">
        <v>81</v>
      </c>
      <c r="D55" s="345" t="s">
        <v>62</v>
      </c>
      <c r="E55" s="369" t="s">
        <v>82</v>
      </c>
      <c r="F55" s="370">
        <v>20</v>
      </c>
      <c r="G55" s="158">
        <f>309.6+716.4</f>
        <v>1026</v>
      </c>
      <c r="H55" s="362" t="s">
        <v>63</v>
      </c>
      <c r="I55" s="100"/>
      <c r="L55" s="371"/>
    </row>
    <row r="56" spans="1:12" s="357" customFormat="1" ht="30" customHeight="1">
      <c r="A56" s="37">
        <v>851</v>
      </c>
      <c r="B56" s="38" t="s">
        <v>83</v>
      </c>
      <c r="C56" s="40" t="s">
        <v>72</v>
      </c>
      <c r="D56" s="345" t="s">
        <v>62</v>
      </c>
      <c r="E56" s="369" t="s">
        <v>34</v>
      </c>
      <c r="F56" s="370">
        <v>25</v>
      </c>
      <c r="G56" s="158">
        <f>325+340.5</f>
        <v>665.5</v>
      </c>
      <c r="H56" s="362" t="s">
        <v>63</v>
      </c>
      <c r="I56" s="100"/>
      <c r="L56" s="371"/>
    </row>
    <row r="57" spans="1:12" s="357" customFormat="1" ht="30" customHeight="1">
      <c r="A57" s="37">
        <v>852</v>
      </c>
      <c r="B57" s="38" t="s">
        <v>220</v>
      </c>
      <c r="C57" s="40" t="s">
        <v>221</v>
      </c>
      <c r="D57" s="345" t="s">
        <v>62</v>
      </c>
      <c r="E57" s="369" t="s">
        <v>34</v>
      </c>
      <c r="F57" s="370">
        <v>20</v>
      </c>
      <c r="G57" s="158">
        <f>268</f>
        <v>268</v>
      </c>
      <c r="H57" s="362" t="s">
        <v>63</v>
      </c>
      <c r="I57" s="100"/>
      <c r="L57" s="371"/>
    </row>
    <row r="58" spans="1:12" s="357" customFormat="1" ht="45" customHeight="1">
      <c r="A58" s="37">
        <v>853</v>
      </c>
      <c r="B58" s="38" t="s">
        <v>84</v>
      </c>
      <c r="C58" s="40" t="s">
        <v>85</v>
      </c>
      <c r="D58" s="345" t="s">
        <v>62</v>
      </c>
      <c r="E58" s="369" t="s">
        <v>34</v>
      </c>
      <c r="F58" s="370">
        <v>20</v>
      </c>
      <c r="G58" s="158">
        <f>1167+1182</f>
        <v>2349</v>
      </c>
      <c r="H58" s="362" t="s">
        <v>63</v>
      </c>
      <c r="I58" s="100"/>
      <c r="L58" s="371"/>
    </row>
    <row r="59" spans="1:12" s="357" customFormat="1" ht="30" customHeight="1">
      <c r="A59" s="37">
        <v>854</v>
      </c>
      <c r="B59" s="38" t="s">
        <v>88</v>
      </c>
      <c r="C59" s="40" t="s">
        <v>85</v>
      </c>
      <c r="D59" s="345" t="s">
        <v>62</v>
      </c>
      <c r="E59" s="369" t="s">
        <v>34</v>
      </c>
      <c r="F59" s="370">
        <v>22</v>
      </c>
      <c r="G59" s="158">
        <f>863.1+1869</f>
        <v>2732.1</v>
      </c>
      <c r="H59" s="362" t="s">
        <v>63</v>
      </c>
      <c r="I59" s="100"/>
      <c r="L59" s="371"/>
    </row>
    <row r="60" spans="1:12" s="357" customFormat="1" ht="30" customHeight="1">
      <c r="A60" s="37">
        <v>855</v>
      </c>
      <c r="B60" s="38" t="s">
        <v>89</v>
      </c>
      <c r="C60" s="40" t="s">
        <v>90</v>
      </c>
      <c r="D60" s="345" t="s">
        <v>62</v>
      </c>
      <c r="E60" s="369" t="s">
        <v>34</v>
      </c>
      <c r="F60" s="370">
        <v>30</v>
      </c>
      <c r="G60" s="158">
        <f>497+990</f>
        <v>1487</v>
      </c>
      <c r="H60" s="362" t="s">
        <v>63</v>
      </c>
      <c r="I60" s="100"/>
      <c r="L60" s="371"/>
    </row>
    <row r="61" spans="1:12" s="357" customFormat="1" ht="30" customHeight="1">
      <c r="A61" s="37">
        <v>856</v>
      </c>
      <c r="B61" s="38" t="s">
        <v>91</v>
      </c>
      <c r="C61" s="40" t="s">
        <v>92</v>
      </c>
      <c r="D61" s="345" t="s">
        <v>62</v>
      </c>
      <c r="E61" s="369" t="s">
        <v>34</v>
      </c>
      <c r="F61" s="370">
        <v>55</v>
      </c>
      <c r="G61" s="158">
        <f>2506.5+6688</f>
        <v>9194.5</v>
      </c>
      <c r="H61" s="362" t="s">
        <v>63</v>
      </c>
      <c r="I61" s="100"/>
      <c r="L61" s="371"/>
    </row>
    <row r="62" spans="1:12" s="357" customFormat="1" ht="30" customHeight="1">
      <c r="A62" s="37">
        <v>857</v>
      </c>
      <c r="B62" s="38" t="s">
        <v>222</v>
      </c>
      <c r="C62" s="40" t="s">
        <v>223</v>
      </c>
      <c r="D62" s="345" t="s">
        <v>62</v>
      </c>
      <c r="E62" s="369" t="s">
        <v>34</v>
      </c>
      <c r="F62" s="370">
        <v>20</v>
      </c>
      <c r="G62" s="158">
        <f>140+249.6</f>
        <v>389.6</v>
      </c>
      <c r="H62" s="362" t="s">
        <v>63</v>
      </c>
      <c r="I62" s="100"/>
      <c r="L62" s="371"/>
    </row>
    <row r="63" spans="1:12" s="357" customFormat="1" ht="30" customHeight="1">
      <c r="A63" s="37">
        <v>858</v>
      </c>
      <c r="B63" s="38" t="s">
        <v>93</v>
      </c>
      <c r="C63" s="40" t="s">
        <v>94</v>
      </c>
      <c r="D63" s="345" t="s">
        <v>62</v>
      </c>
      <c r="E63" s="369" t="s">
        <v>34</v>
      </c>
      <c r="F63" s="370">
        <v>5</v>
      </c>
      <c r="G63" s="158">
        <v>636.77</v>
      </c>
      <c r="H63" s="362" t="s">
        <v>63</v>
      </c>
      <c r="I63" s="100"/>
      <c r="L63" s="371"/>
    </row>
    <row r="64" spans="1:12" s="357" customFormat="1" ht="30" customHeight="1">
      <c r="A64" s="37">
        <v>859</v>
      </c>
      <c r="B64" s="38" t="s">
        <v>224</v>
      </c>
      <c r="C64" s="40" t="s">
        <v>225</v>
      </c>
      <c r="D64" s="345" t="s">
        <v>62</v>
      </c>
      <c r="E64" s="369" t="s">
        <v>34</v>
      </c>
      <c r="F64" s="370">
        <v>10</v>
      </c>
      <c r="G64" s="158">
        <v>124</v>
      </c>
      <c r="H64" s="362" t="s">
        <v>63</v>
      </c>
      <c r="I64" s="100"/>
      <c r="L64" s="371"/>
    </row>
    <row r="65" spans="1:12" s="357" customFormat="1" ht="30" customHeight="1">
      <c r="A65" s="37">
        <v>860</v>
      </c>
      <c r="B65" s="40" t="s">
        <v>226</v>
      </c>
      <c r="C65" s="40" t="s">
        <v>227</v>
      </c>
      <c r="D65" s="345" t="s">
        <v>62</v>
      </c>
      <c r="E65" s="369" t="s">
        <v>34</v>
      </c>
      <c r="F65" s="370">
        <v>42</v>
      </c>
      <c r="G65" s="158">
        <v>5825.4</v>
      </c>
      <c r="H65" s="362" t="s">
        <v>63</v>
      </c>
      <c r="I65" s="100"/>
      <c r="L65" s="371"/>
    </row>
    <row r="66" spans="1:12" s="357" customFormat="1" ht="30" customHeight="1">
      <c r="A66" s="37">
        <v>861</v>
      </c>
      <c r="B66" s="40" t="s">
        <v>95</v>
      </c>
      <c r="C66" s="40" t="s">
        <v>96</v>
      </c>
      <c r="D66" s="345" t="s">
        <v>62</v>
      </c>
      <c r="E66" s="369" t="s">
        <v>34</v>
      </c>
      <c r="F66" s="370">
        <v>67</v>
      </c>
      <c r="G66" s="158">
        <v>13965.6</v>
      </c>
      <c r="H66" s="362" t="s">
        <v>63</v>
      </c>
      <c r="I66" s="100"/>
      <c r="L66" s="371"/>
    </row>
    <row r="67" spans="1:12" s="357" customFormat="1" ht="30" customHeight="1">
      <c r="A67" s="37">
        <v>862</v>
      </c>
      <c r="B67" s="40" t="s">
        <v>97</v>
      </c>
      <c r="C67" s="345" t="s">
        <v>87</v>
      </c>
      <c r="D67" s="345" t="s">
        <v>62</v>
      </c>
      <c r="E67" s="369" t="s">
        <v>34</v>
      </c>
      <c r="F67" s="370">
        <v>80</v>
      </c>
      <c r="G67" s="158">
        <v>18400</v>
      </c>
      <c r="H67" s="362" t="s">
        <v>63</v>
      </c>
      <c r="I67" s="100"/>
      <c r="L67" s="371"/>
    </row>
    <row r="68" spans="1:12" s="357" customFormat="1" ht="45" customHeight="1">
      <c r="A68" s="37">
        <v>863</v>
      </c>
      <c r="B68" s="54" t="s">
        <v>98</v>
      </c>
      <c r="C68" s="40" t="s">
        <v>61</v>
      </c>
      <c r="D68" s="345" t="s">
        <v>62</v>
      </c>
      <c r="E68" s="369" t="s">
        <v>25</v>
      </c>
      <c r="F68" s="370">
        <v>255</v>
      </c>
      <c r="G68" s="158">
        <f>3225.75+1.22+135.4-1.65</f>
        <v>3360.72</v>
      </c>
      <c r="H68" s="362" t="s">
        <v>63</v>
      </c>
      <c r="I68" s="100"/>
      <c r="L68" s="371"/>
    </row>
    <row r="69" spans="1:12" s="357" customFormat="1" ht="30" customHeight="1">
      <c r="A69" s="37">
        <v>864</v>
      </c>
      <c r="B69" s="40" t="s">
        <v>99</v>
      </c>
      <c r="C69" s="40" t="s">
        <v>100</v>
      </c>
      <c r="D69" s="345" t="s">
        <v>62</v>
      </c>
      <c r="E69" s="369" t="s">
        <v>34</v>
      </c>
      <c r="F69" s="370">
        <v>25</v>
      </c>
      <c r="G69" s="158">
        <f>2962.08+4593</f>
        <v>7555.08</v>
      </c>
      <c r="H69" s="362" t="s">
        <v>63</v>
      </c>
      <c r="I69" s="100"/>
      <c r="L69" s="371"/>
    </row>
    <row r="70" spans="1:12" s="357" customFormat="1" ht="30" customHeight="1">
      <c r="A70" s="37">
        <v>865</v>
      </c>
      <c r="B70" s="40" t="s">
        <v>101</v>
      </c>
      <c r="C70" s="40" t="s">
        <v>102</v>
      </c>
      <c r="D70" s="345" t="s">
        <v>62</v>
      </c>
      <c r="E70" s="369" t="s">
        <v>34</v>
      </c>
      <c r="F70" s="370">
        <v>3.8</v>
      </c>
      <c r="G70" s="158">
        <v>2261</v>
      </c>
      <c r="H70" s="362" t="s">
        <v>63</v>
      </c>
      <c r="I70" s="100"/>
      <c r="L70" s="371"/>
    </row>
    <row r="71" spans="1:12" s="357" customFormat="1" ht="30" customHeight="1">
      <c r="A71" s="37">
        <v>866</v>
      </c>
      <c r="B71" s="40" t="s">
        <v>228</v>
      </c>
      <c r="C71" s="40" t="s">
        <v>229</v>
      </c>
      <c r="D71" s="345" t="s">
        <v>62</v>
      </c>
      <c r="E71" s="369" t="s">
        <v>34</v>
      </c>
      <c r="F71" s="370">
        <v>70</v>
      </c>
      <c r="G71" s="158">
        <f>495+2454</f>
        <v>2949</v>
      </c>
      <c r="H71" s="362" t="s">
        <v>63</v>
      </c>
      <c r="I71" s="100"/>
      <c r="L71" s="371"/>
    </row>
    <row r="72" spans="1:12" s="357" customFormat="1" ht="30" customHeight="1">
      <c r="A72" s="37">
        <v>867</v>
      </c>
      <c r="B72" s="40" t="s">
        <v>103</v>
      </c>
      <c r="C72" s="40" t="s">
        <v>104</v>
      </c>
      <c r="D72" s="345" t="s">
        <v>62</v>
      </c>
      <c r="E72" s="369" t="s">
        <v>25</v>
      </c>
      <c r="F72" s="370">
        <v>750</v>
      </c>
      <c r="G72" s="158">
        <v>3480</v>
      </c>
      <c r="H72" s="362" t="s">
        <v>63</v>
      </c>
      <c r="I72" s="100"/>
      <c r="L72" s="371"/>
    </row>
    <row r="73" spans="1:12" s="357" customFormat="1" ht="30" customHeight="1">
      <c r="A73" s="37">
        <v>868</v>
      </c>
      <c r="B73" s="40" t="s">
        <v>230</v>
      </c>
      <c r="C73" s="40" t="s">
        <v>231</v>
      </c>
      <c r="D73" s="345" t="s">
        <v>62</v>
      </c>
      <c r="E73" s="369" t="s">
        <v>77</v>
      </c>
      <c r="F73" s="370">
        <v>20</v>
      </c>
      <c r="G73" s="158">
        <f>1172</f>
        <v>1172</v>
      </c>
      <c r="H73" s="362" t="s">
        <v>63</v>
      </c>
      <c r="I73" s="100"/>
      <c r="L73" s="371"/>
    </row>
    <row r="74" spans="1:12" s="357" customFormat="1" ht="30" customHeight="1">
      <c r="A74" s="37">
        <v>869</v>
      </c>
      <c r="B74" s="38" t="s">
        <v>232</v>
      </c>
      <c r="C74" s="40" t="s">
        <v>85</v>
      </c>
      <c r="D74" s="345" t="s">
        <v>62</v>
      </c>
      <c r="E74" s="369" t="s">
        <v>34</v>
      </c>
      <c r="F74" s="370">
        <v>20</v>
      </c>
      <c r="G74" s="158">
        <f>1137.83+1182</f>
        <v>2319.83</v>
      </c>
      <c r="H74" s="362" t="s">
        <v>63</v>
      </c>
      <c r="I74" s="100"/>
      <c r="L74" s="371"/>
    </row>
    <row r="75" spans="1:12" s="357" customFormat="1" ht="30" customHeight="1">
      <c r="A75" s="37">
        <v>870</v>
      </c>
      <c r="B75" s="38" t="s">
        <v>105</v>
      </c>
      <c r="C75" s="40" t="s">
        <v>70</v>
      </c>
      <c r="D75" s="345" t="s">
        <v>62</v>
      </c>
      <c r="E75" s="369" t="s">
        <v>34</v>
      </c>
      <c r="F75" s="370">
        <v>23</v>
      </c>
      <c r="G75" s="158">
        <f>339+427.7</f>
        <v>766.7</v>
      </c>
      <c r="H75" s="362" t="s">
        <v>63</v>
      </c>
      <c r="I75" s="100"/>
      <c r="L75" s="371"/>
    </row>
    <row r="76" spans="1:12" s="10" customFormat="1" ht="30" customHeight="1">
      <c r="A76" s="296"/>
      <c r="B76" s="260" t="s">
        <v>106</v>
      </c>
      <c r="C76" s="261"/>
      <c r="D76" s="262"/>
      <c r="E76" s="263"/>
      <c r="F76" s="263"/>
      <c r="G76" s="337">
        <f>SUM(G47:G75)</f>
        <v>95120</v>
      </c>
      <c r="H76" s="265"/>
      <c r="I76" s="100"/>
      <c r="L76" s="267"/>
    </row>
    <row r="77" spans="1:12" s="340" customFormat="1" ht="30" customHeight="1">
      <c r="A77" s="269">
        <v>871</v>
      </c>
      <c r="B77" s="372" t="s">
        <v>233</v>
      </c>
      <c r="C77" s="364" t="s">
        <v>234</v>
      </c>
      <c r="D77" s="359" t="s">
        <v>109</v>
      </c>
      <c r="E77" s="360" t="s">
        <v>113</v>
      </c>
      <c r="F77" s="360">
        <v>3</v>
      </c>
      <c r="G77" s="139">
        <v>3780</v>
      </c>
      <c r="H77" s="362" t="s">
        <v>63</v>
      </c>
      <c r="I77" s="100"/>
      <c r="K77" s="340">
        <f>1260</f>
        <v>1260</v>
      </c>
      <c r="L77" s="371">
        <f aca="true" t="shared" si="0" ref="L77:L86">G77-K77</f>
        <v>2520</v>
      </c>
    </row>
    <row r="78" spans="1:12" s="340" customFormat="1" ht="30" customHeight="1">
      <c r="A78" s="269">
        <v>872</v>
      </c>
      <c r="B78" s="373" t="s">
        <v>235</v>
      </c>
      <c r="C78" s="359" t="s">
        <v>116</v>
      </c>
      <c r="D78" s="359" t="s">
        <v>109</v>
      </c>
      <c r="E78" s="360" t="s">
        <v>113</v>
      </c>
      <c r="F78" s="374" t="s">
        <v>117</v>
      </c>
      <c r="G78" s="139">
        <f>462+30</f>
        <v>492</v>
      </c>
      <c r="H78" s="362" t="s">
        <v>63</v>
      </c>
      <c r="I78" s="100"/>
      <c r="K78" s="340">
        <f>154</f>
        <v>154</v>
      </c>
      <c r="L78" s="371">
        <f t="shared" si="0"/>
        <v>338</v>
      </c>
    </row>
    <row r="79" spans="1:12" s="340" customFormat="1" ht="45" customHeight="1">
      <c r="A79" s="269">
        <v>873</v>
      </c>
      <c r="B79" s="372" t="s">
        <v>236</v>
      </c>
      <c r="C79" s="364" t="s">
        <v>119</v>
      </c>
      <c r="D79" s="364" t="s">
        <v>109</v>
      </c>
      <c r="E79" s="41" t="s">
        <v>120</v>
      </c>
      <c r="F79" s="41" t="s">
        <v>121</v>
      </c>
      <c r="G79" s="139">
        <v>3822.77</v>
      </c>
      <c r="H79" s="362" t="s">
        <v>63</v>
      </c>
      <c r="I79" s="100"/>
      <c r="K79" s="340">
        <f>1177.07</f>
        <v>1177.07</v>
      </c>
      <c r="L79" s="371">
        <f t="shared" si="0"/>
        <v>2645.7</v>
      </c>
    </row>
    <row r="80" spans="1:13" s="340" customFormat="1" ht="30" customHeight="1">
      <c r="A80" s="269">
        <v>874</v>
      </c>
      <c r="B80" s="373" t="s">
        <v>237</v>
      </c>
      <c r="C80" s="359" t="s">
        <v>123</v>
      </c>
      <c r="D80" s="364" t="s">
        <v>109</v>
      </c>
      <c r="E80" s="361" t="s">
        <v>113</v>
      </c>
      <c r="F80" s="360" t="s">
        <v>117</v>
      </c>
      <c r="G80" s="139">
        <f>1413-30</f>
        <v>1383</v>
      </c>
      <c r="H80" s="362" t="s">
        <v>63</v>
      </c>
      <c r="I80" s="100"/>
      <c r="K80" s="340">
        <v>470.96</v>
      </c>
      <c r="L80" s="371">
        <f t="shared" si="0"/>
        <v>912.04</v>
      </c>
      <c r="M80" s="340">
        <v>1412.88</v>
      </c>
    </row>
    <row r="81" spans="1:12" s="340" customFormat="1" ht="30" customHeight="1">
      <c r="A81" s="269">
        <v>875</v>
      </c>
      <c r="B81" s="373" t="s">
        <v>238</v>
      </c>
      <c r="C81" s="359" t="s">
        <v>239</v>
      </c>
      <c r="D81" s="364" t="s">
        <v>109</v>
      </c>
      <c r="E81" s="361" t="s">
        <v>184</v>
      </c>
      <c r="F81" s="360">
        <v>154</v>
      </c>
      <c r="G81" s="139">
        <v>455.84</v>
      </c>
      <c r="H81" s="362" t="s">
        <v>19</v>
      </c>
      <c r="I81" s="100"/>
      <c r="L81" s="371"/>
    </row>
    <row r="82" spans="1:12" s="340" customFormat="1" ht="30" customHeight="1">
      <c r="A82" s="269">
        <v>876</v>
      </c>
      <c r="B82" s="373" t="s">
        <v>240</v>
      </c>
      <c r="C82" s="359" t="s">
        <v>239</v>
      </c>
      <c r="D82" s="364" t="s">
        <v>109</v>
      </c>
      <c r="E82" s="361" t="s">
        <v>184</v>
      </c>
      <c r="F82" s="360">
        <v>784.3</v>
      </c>
      <c r="G82" s="139">
        <v>2023.49</v>
      </c>
      <c r="H82" s="362" t="s">
        <v>19</v>
      </c>
      <c r="I82" s="100"/>
      <c r="L82" s="371"/>
    </row>
    <row r="83" spans="1:12" s="340" customFormat="1" ht="45" customHeight="1">
      <c r="A83" s="269">
        <v>877</v>
      </c>
      <c r="B83" s="373" t="s">
        <v>241</v>
      </c>
      <c r="C83" s="359" t="s">
        <v>242</v>
      </c>
      <c r="D83" s="364" t="s">
        <v>109</v>
      </c>
      <c r="E83" s="361" t="s">
        <v>25</v>
      </c>
      <c r="F83" s="360">
        <v>2</v>
      </c>
      <c r="G83" s="139">
        <v>366.9</v>
      </c>
      <c r="H83" s="362" t="s">
        <v>63</v>
      </c>
      <c r="I83" s="100"/>
      <c r="L83" s="371"/>
    </row>
    <row r="84" spans="1:12" s="340" customFormat="1" ht="45" customHeight="1">
      <c r="A84" s="269">
        <v>878</v>
      </c>
      <c r="B84" s="375" t="s">
        <v>128</v>
      </c>
      <c r="C84" s="376" t="s">
        <v>129</v>
      </c>
      <c r="D84" s="40" t="s">
        <v>109</v>
      </c>
      <c r="E84" s="41" t="s">
        <v>25</v>
      </c>
      <c r="F84" s="41">
        <v>2</v>
      </c>
      <c r="G84" s="163">
        <v>57205</v>
      </c>
      <c r="H84" s="155" t="s">
        <v>63</v>
      </c>
      <c r="I84" s="100"/>
      <c r="L84" s="74"/>
    </row>
    <row r="85" spans="1:12" s="340" customFormat="1" ht="30" customHeight="1">
      <c r="A85" s="269">
        <v>879</v>
      </c>
      <c r="B85" s="372" t="s">
        <v>130</v>
      </c>
      <c r="C85" s="364" t="s">
        <v>131</v>
      </c>
      <c r="D85" s="359" t="s">
        <v>109</v>
      </c>
      <c r="E85" s="360" t="s">
        <v>25</v>
      </c>
      <c r="F85" s="360">
        <v>5</v>
      </c>
      <c r="G85" s="139">
        <v>1400</v>
      </c>
      <c r="H85" s="362" t="s">
        <v>19</v>
      </c>
      <c r="I85" s="100"/>
      <c r="K85" s="340">
        <v>1064</v>
      </c>
      <c r="L85" s="371">
        <f>G85-K85</f>
        <v>336</v>
      </c>
    </row>
    <row r="86" spans="1:12" s="340" customFormat="1" ht="30" customHeight="1">
      <c r="A86" s="269">
        <v>880</v>
      </c>
      <c r="B86" s="372" t="s">
        <v>130</v>
      </c>
      <c r="C86" s="364" t="s">
        <v>131</v>
      </c>
      <c r="D86" s="359" t="s">
        <v>109</v>
      </c>
      <c r="E86" s="360" t="s">
        <v>25</v>
      </c>
      <c r="F86" s="360">
        <v>10</v>
      </c>
      <c r="G86" s="139">
        <v>2800</v>
      </c>
      <c r="H86" s="362" t="s">
        <v>132</v>
      </c>
      <c r="I86" s="100"/>
      <c r="K86" s="340">
        <v>1064</v>
      </c>
      <c r="L86" s="371">
        <f t="shared" si="0"/>
        <v>1736</v>
      </c>
    </row>
    <row r="87" spans="1:12" s="10" customFormat="1" ht="30" customHeight="1">
      <c r="A87" s="334"/>
      <c r="B87" s="335" t="s">
        <v>136</v>
      </c>
      <c r="C87" s="336"/>
      <c r="D87" s="262"/>
      <c r="E87" s="263"/>
      <c r="F87" s="263"/>
      <c r="G87" s="337">
        <f>SUM(G77:G86)</f>
        <v>73729</v>
      </c>
      <c r="H87" s="265"/>
      <c r="I87" s="100"/>
      <c r="K87" s="267">
        <f>SUM(K77:K86)</f>
        <v>5190.03</v>
      </c>
      <c r="L87" s="267">
        <f>SUM(L77:L86)</f>
        <v>8487.74</v>
      </c>
    </row>
    <row r="88" spans="1:11" ht="30" customHeight="1">
      <c r="A88" s="269">
        <v>881</v>
      </c>
      <c r="B88" s="38" t="s">
        <v>243</v>
      </c>
      <c r="C88" s="52" t="s">
        <v>138</v>
      </c>
      <c r="D88" s="40" t="s">
        <v>139</v>
      </c>
      <c r="E88" s="41" t="s">
        <v>140</v>
      </c>
      <c r="F88" s="53">
        <f>G88/2878.55</f>
        <v>102.23897448368102</v>
      </c>
      <c r="G88" s="295">
        <v>294300</v>
      </c>
      <c r="H88" s="137" t="s">
        <v>63</v>
      </c>
      <c r="I88" s="100"/>
      <c r="K88" s="12">
        <f>89955</f>
        <v>89955</v>
      </c>
    </row>
    <row r="89" spans="1:9" s="10" customFormat="1" ht="30" customHeight="1">
      <c r="A89" s="334"/>
      <c r="B89" s="260" t="s">
        <v>141</v>
      </c>
      <c r="C89" s="261"/>
      <c r="D89" s="262"/>
      <c r="E89" s="263"/>
      <c r="F89" s="263"/>
      <c r="G89" s="297">
        <f>SUM(G88:G88)</f>
        <v>294300</v>
      </c>
      <c r="H89" s="265"/>
      <c r="I89" s="100"/>
    </row>
    <row r="90" spans="1:11" ht="30" customHeight="1">
      <c r="A90" s="269">
        <v>882</v>
      </c>
      <c r="B90" s="38" t="s">
        <v>244</v>
      </c>
      <c r="C90" s="54" t="s">
        <v>245</v>
      </c>
      <c r="D90" s="40" t="s">
        <v>246</v>
      </c>
      <c r="E90" s="41" t="s">
        <v>110</v>
      </c>
      <c r="F90" s="56">
        <f>G90/12.72</f>
        <v>47.09119496855346</v>
      </c>
      <c r="G90" s="295">
        <v>599</v>
      </c>
      <c r="H90" s="137" t="s">
        <v>63</v>
      </c>
      <c r="I90" s="100"/>
      <c r="K90" s="74"/>
    </row>
    <row r="91" spans="1:9" s="10" customFormat="1" ht="30" customHeight="1">
      <c r="A91" s="334"/>
      <c r="B91" s="260" t="s">
        <v>247</v>
      </c>
      <c r="C91" s="261"/>
      <c r="D91" s="262"/>
      <c r="E91" s="263"/>
      <c r="F91" s="263"/>
      <c r="G91" s="297">
        <f>G90</f>
        <v>599</v>
      </c>
      <c r="H91" s="265"/>
      <c r="I91" s="100"/>
    </row>
    <row r="92" spans="1:13" ht="30" customHeight="1">
      <c r="A92" s="37">
        <v>883</v>
      </c>
      <c r="B92" s="38" t="s">
        <v>142</v>
      </c>
      <c r="C92" s="54" t="s">
        <v>143</v>
      </c>
      <c r="D92" s="40" t="s">
        <v>144</v>
      </c>
      <c r="E92" s="41" t="s">
        <v>145</v>
      </c>
      <c r="F92" s="56">
        <f>G92/4.143</f>
        <v>5252.715423606082</v>
      </c>
      <c r="G92" s="295">
        <v>21762</v>
      </c>
      <c r="H92" s="137" t="s">
        <v>63</v>
      </c>
      <c r="I92" s="100"/>
      <c r="K92" s="12">
        <f>6715.8+2039.89</f>
        <v>8755.69</v>
      </c>
      <c r="L92" s="240">
        <f>F92-J92</f>
        <v>5252.715423606082</v>
      </c>
      <c r="M92" s="74">
        <f>G92-K92</f>
        <v>13006.31</v>
      </c>
    </row>
    <row r="93" spans="1:9" s="10" customFormat="1" ht="30" customHeight="1">
      <c r="A93" s="296"/>
      <c r="B93" s="260" t="s">
        <v>146</v>
      </c>
      <c r="C93" s="261"/>
      <c r="D93" s="262"/>
      <c r="E93" s="263"/>
      <c r="F93" s="263"/>
      <c r="G93" s="297">
        <f>G92</f>
        <v>21762</v>
      </c>
      <c r="H93" s="265"/>
      <c r="I93" s="101"/>
    </row>
    <row r="94" spans="1:9" ht="22.5" customHeight="1">
      <c r="A94" s="19"/>
      <c r="B94" s="208" t="s">
        <v>151</v>
      </c>
      <c r="C94" s="167"/>
      <c r="D94" s="168"/>
      <c r="E94" s="207"/>
      <c r="F94" s="170"/>
      <c r="G94" s="304"/>
      <c r="H94" s="171"/>
      <c r="I94" s="223"/>
    </row>
    <row r="95" spans="1:9" ht="22.5" customHeight="1">
      <c r="A95" s="19"/>
      <c r="B95" s="106" t="s">
        <v>152</v>
      </c>
      <c r="C95" s="107"/>
      <c r="D95" s="108" t="s">
        <v>153</v>
      </c>
      <c r="E95" s="109"/>
      <c r="F95" s="109"/>
      <c r="G95" s="304"/>
      <c r="H95" s="171"/>
      <c r="I95" s="223"/>
    </row>
    <row r="96" spans="1:9" s="8" customFormat="1" ht="22.5" customHeight="1">
      <c r="A96" s="19"/>
      <c r="B96" s="111"/>
      <c r="C96" s="9"/>
      <c r="D96" s="112" t="s">
        <v>154</v>
      </c>
      <c r="E96" s="113" t="s">
        <v>155</v>
      </c>
      <c r="F96" s="114"/>
      <c r="G96" s="304"/>
      <c r="H96" s="171"/>
      <c r="I96" s="223"/>
    </row>
    <row r="97" spans="1:9" s="8" customFormat="1" ht="22.5" customHeight="1">
      <c r="A97" s="19"/>
      <c r="B97" s="115" t="s">
        <v>156</v>
      </c>
      <c r="C97" s="116"/>
      <c r="D97" s="108" t="s">
        <v>157</v>
      </c>
      <c r="E97" s="109"/>
      <c r="F97" s="109"/>
      <c r="G97" s="304"/>
      <c r="H97" s="171"/>
      <c r="I97" s="223"/>
    </row>
    <row r="98" spans="1:9" ht="22.5" customHeight="1">
      <c r="A98" s="19"/>
      <c r="B98" s="111"/>
      <c r="C98" s="9"/>
      <c r="D98" s="112" t="s">
        <v>154</v>
      </c>
      <c r="E98" s="113"/>
      <c r="F98" s="114"/>
      <c r="G98" s="304"/>
      <c r="H98" s="8"/>
      <c r="I98" s="141"/>
    </row>
    <row r="99" spans="1:9" s="8" customFormat="1" ht="22.5" customHeight="1">
      <c r="A99" s="19"/>
      <c r="B99" s="115" t="s">
        <v>158</v>
      </c>
      <c r="C99" s="9"/>
      <c r="D99" s="9"/>
      <c r="E99" s="9"/>
      <c r="F99" s="9"/>
      <c r="G99" s="304"/>
      <c r="H99" s="171"/>
      <c r="I99" s="223"/>
    </row>
    <row r="100" spans="1:9" s="2" customFormat="1" ht="30" customHeight="1">
      <c r="A100" s="169"/>
      <c r="B100" s="229" t="s">
        <v>159</v>
      </c>
      <c r="C100" s="167"/>
      <c r="D100" s="291" t="s">
        <v>160</v>
      </c>
      <c r="E100" s="229"/>
      <c r="F100" s="170"/>
      <c r="G100" s="307"/>
      <c r="H100" s="171"/>
      <c r="I100" s="326"/>
    </row>
    <row r="101" spans="1:9" ht="22.5" customHeight="1">
      <c r="A101" s="19"/>
      <c r="B101" s="230" t="s">
        <v>161</v>
      </c>
      <c r="C101" s="167"/>
      <c r="D101" s="168"/>
      <c r="E101" s="207"/>
      <c r="F101" s="170"/>
      <c r="G101" s="304"/>
      <c r="H101" s="171"/>
      <c r="I101" s="223"/>
    </row>
  </sheetData>
  <sheetProtection/>
  <mergeCells count="18">
    <mergeCell ref="F1:G1"/>
    <mergeCell ref="A2:I2"/>
    <mergeCell ref="B46:C46"/>
    <mergeCell ref="B76:C76"/>
    <mergeCell ref="B87:C87"/>
    <mergeCell ref="B89:C89"/>
    <mergeCell ref="B91:C91"/>
    <mergeCell ref="B93:C9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46:I93"/>
  </mergeCells>
  <hyperlinks>
    <hyperlink ref="C44" r:id="rId1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45"/>
  <sheetViews>
    <sheetView view="pageBreakPreview" zoomScale="90" zoomScaleNormal="90" zoomScaleSheetLayoutView="90" workbookViewId="0" topLeftCell="A1">
      <selection activeCell="G19" sqref="G19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24" t="s">
        <v>583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2.5" customHeight="1">
      <c r="A3" s="25" t="s">
        <v>584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17" t="s">
        <v>4</v>
      </c>
      <c r="B4" s="5"/>
      <c r="C4" s="5"/>
      <c r="D4" s="5"/>
      <c r="E4" s="5"/>
      <c r="F4" s="5"/>
      <c r="G4" s="5"/>
      <c r="H4" s="5"/>
      <c r="I4" s="5"/>
    </row>
    <row r="5" ht="15" customHeight="1"/>
    <row r="6" spans="1:11" ht="15.75" customHeight="1">
      <c r="A6" s="26" t="s">
        <v>5</v>
      </c>
      <c r="B6" s="27" t="s">
        <v>6</v>
      </c>
      <c r="C6" s="28" t="s">
        <v>7</v>
      </c>
      <c r="D6" s="28" t="s">
        <v>249</v>
      </c>
      <c r="E6" s="28" t="s">
        <v>9</v>
      </c>
      <c r="F6" s="28" t="s">
        <v>10</v>
      </c>
      <c r="G6" s="28" t="s">
        <v>250</v>
      </c>
      <c r="H6" s="28" t="s">
        <v>251</v>
      </c>
      <c r="I6" s="28" t="s">
        <v>13</v>
      </c>
      <c r="J6" s="71"/>
      <c r="K6" s="71"/>
    </row>
    <row r="7" spans="1:9" ht="31.5" customHeight="1">
      <c r="A7" s="29"/>
      <c r="B7" s="30"/>
      <c r="C7" s="31"/>
      <c r="D7" s="31"/>
      <c r="E7" s="31"/>
      <c r="F7" s="31"/>
      <c r="G7" s="31"/>
      <c r="H7" s="31"/>
      <c r="I7" s="31"/>
    </row>
    <row r="8" spans="1:9" ht="37.5" customHeight="1">
      <c r="A8" s="32"/>
      <c r="B8" s="33"/>
      <c r="C8" s="34"/>
      <c r="D8" s="34"/>
      <c r="E8" s="34"/>
      <c r="F8" s="34"/>
      <c r="G8" s="34"/>
      <c r="H8" s="34"/>
      <c r="I8" s="34"/>
    </row>
    <row r="9" spans="1:12" s="340" customFormat="1" ht="30" customHeight="1">
      <c r="A9" s="37">
        <v>1</v>
      </c>
      <c r="B9" s="38" t="s">
        <v>649</v>
      </c>
      <c r="C9" s="39" t="s">
        <v>24</v>
      </c>
      <c r="D9" s="341" t="s">
        <v>650</v>
      </c>
      <c r="E9" s="342" t="s">
        <v>25</v>
      </c>
      <c r="F9" s="342">
        <v>4</v>
      </c>
      <c r="G9" s="295">
        <v>653.8</v>
      </c>
      <c r="H9" s="40" t="s">
        <v>63</v>
      </c>
      <c r="I9" s="31"/>
      <c r="K9" s="340">
        <v>1850</v>
      </c>
      <c r="L9" s="343">
        <f>G9-K9</f>
        <v>-1196.2</v>
      </c>
    </row>
    <row r="10" spans="1:12" ht="30" customHeight="1">
      <c r="A10" s="37">
        <v>2</v>
      </c>
      <c r="B10" s="38" t="s">
        <v>589</v>
      </c>
      <c r="C10" s="43" t="s">
        <v>24</v>
      </c>
      <c r="D10" s="40" t="s">
        <v>650</v>
      </c>
      <c r="E10" s="41" t="s">
        <v>25</v>
      </c>
      <c r="F10" s="41">
        <v>3</v>
      </c>
      <c r="G10" s="295">
        <v>496.2</v>
      </c>
      <c r="H10" s="40" t="s">
        <v>63</v>
      </c>
      <c r="I10" s="31"/>
      <c r="K10" s="12">
        <v>1850</v>
      </c>
      <c r="L10" s="74">
        <f aca="true" t="shared" si="0" ref="L10:L17">G10-K10</f>
        <v>-1353.8</v>
      </c>
    </row>
    <row r="11" spans="1:12" ht="30" customHeight="1">
      <c r="A11" s="37">
        <v>3</v>
      </c>
      <c r="B11" s="38" t="s">
        <v>15</v>
      </c>
      <c r="C11" s="43" t="s">
        <v>16</v>
      </c>
      <c r="D11" s="40" t="s">
        <v>650</v>
      </c>
      <c r="E11" s="41" t="s">
        <v>18</v>
      </c>
      <c r="F11" s="41">
        <v>5</v>
      </c>
      <c r="G11" s="295">
        <v>1050</v>
      </c>
      <c r="H11" s="40" t="s">
        <v>63</v>
      </c>
      <c r="I11" s="31"/>
      <c r="K11" s="12">
        <v>1850</v>
      </c>
      <c r="L11" s="74">
        <f t="shared" si="0"/>
        <v>-800</v>
      </c>
    </row>
    <row r="12" spans="1:12" ht="30" customHeight="1">
      <c r="A12" s="37">
        <v>4</v>
      </c>
      <c r="B12" s="38" t="s">
        <v>649</v>
      </c>
      <c r="C12" s="43" t="s">
        <v>24</v>
      </c>
      <c r="D12" s="40" t="s">
        <v>650</v>
      </c>
      <c r="E12" s="41" t="s">
        <v>25</v>
      </c>
      <c r="F12" s="41">
        <v>2</v>
      </c>
      <c r="G12" s="295">
        <v>328</v>
      </c>
      <c r="H12" s="40" t="s">
        <v>19</v>
      </c>
      <c r="I12" s="31"/>
      <c r="K12" s="12">
        <v>1850</v>
      </c>
      <c r="L12" s="74">
        <f t="shared" si="0"/>
        <v>-1522</v>
      </c>
    </row>
    <row r="13" spans="1:12" ht="30" customHeight="1">
      <c r="A13" s="37">
        <v>5</v>
      </c>
      <c r="B13" s="38" t="s">
        <v>589</v>
      </c>
      <c r="C13" s="43" t="s">
        <v>24</v>
      </c>
      <c r="D13" s="40" t="s">
        <v>650</v>
      </c>
      <c r="E13" s="41" t="s">
        <v>25</v>
      </c>
      <c r="F13" s="41">
        <v>2</v>
      </c>
      <c r="G13" s="295">
        <v>332</v>
      </c>
      <c r="H13" s="40" t="s">
        <v>19</v>
      </c>
      <c r="I13" s="31"/>
      <c r="K13" s="12">
        <v>1850</v>
      </c>
      <c r="L13" s="74">
        <f t="shared" si="0"/>
        <v>-1518</v>
      </c>
    </row>
    <row r="14" spans="1:12" ht="30" customHeight="1">
      <c r="A14" s="37">
        <v>6</v>
      </c>
      <c r="B14" s="38" t="s">
        <v>15</v>
      </c>
      <c r="C14" s="43" t="s">
        <v>16</v>
      </c>
      <c r="D14" s="40" t="s">
        <v>650</v>
      </c>
      <c r="E14" s="41" t="s">
        <v>18</v>
      </c>
      <c r="F14" s="41">
        <v>4</v>
      </c>
      <c r="G14" s="295">
        <v>840</v>
      </c>
      <c r="H14" s="40" t="s">
        <v>19</v>
      </c>
      <c r="I14" s="31"/>
      <c r="K14" s="12">
        <v>1850</v>
      </c>
      <c r="L14" s="74">
        <f t="shared" si="0"/>
        <v>-1010</v>
      </c>
    </row>
    <row r="15" spans="1:12" ht="30" customHeight="1">
      <c r="A15" s="37">
        <v>7</v>
      </c>
      <c r="B15" s="38" t="s">
        <v>589</v>
      </c>
      <c r="C15" s="43" t="s">
        <v>24</v>
      </c>
      <c r="D15" s="40" t="s">
        <v>650</v>
      </c>
      <c r="E15" s="41" t="s">
        <v>25</v>
      </c>
      <c r="F15" s="41">
        <v>1</v>
      </c>
      <c r="G15" s="295">
        <v>165</v>
      </c>
      <c r="H15" s="40" t="s">
        <v>132</v>
      </c>
      <c r="I15" s="31"/>
      <c r="K15" s="12">
        <v>1850</v>
      </c>
      <c r="L15" s="74">
        <f t="shared" si="0"/>
        <v>-1685</v>
      </c>
    </row>
    <row r="16" spans="1:12" ht="30" customHeight="1">
      <c r="A16" s="37">
        <v>8</v>
      </c>
      <c r="B16" s="38" t="s">
        <v>15</v>
      </c>
      <c r="C16" s="43" t="s">
        <v>16</v>
      </c>
      <c r="D16" s="40" t="s">
        <v>650</v>
      </c>
      <c r="E16" s="41" t="s">
        <v>18</v>
      </c>
      <c r="F16" s="41">
        <v>6</v>
      </c>
      <c r="G16" s="295">
        <v>1260</v>
      </c>
      <c r="H16" s="40" t="s">
        <v>132</v>
      </c>
      <c r="I16" s="31"/>
      <c r="K16" s="12">
        <v>1850</v>
      </c>
      <c r="L16" s="74">
        <f t="shared" si="0"/>
        <v>-590</v>
      </c>
    </row>
    <row r="17" spans="1:12" ht="30" customHeight="1">
      <c r="A17" s="37">
        <v>9</v>
      </c>
      <c r="B17" s="38" t="s">
        <v>651</v>
      </c>
      <c r="C17" s="43" t="s">
        <v>16</v>
      </c>
      <c r="D17" s="40" t="s">
        <v>650</v>
      </c>
      <c r="E17" s="41" t="s">
        <v>25</v>
      </c>
      <c r="F17" s="41">
        <v>1</v>
      </c>
      <c r="G17" s="295">
        <v>15</v>
      </c>
      <c r="H17" s="40" t="s">
        <v>132</v>
      </c>
      <c r="I17" s="31"/>
      <c r="K17" s="12">
        <v>1850</v>
      </c>
      <c r="L17" s="74">
        <f t="shared" si="0"/>
        <v>-1835</v>
      </c>
    </row>
    <row r="18" spans="1:14" s="10" customFormat="1" ht="30" customHeight="1">
      <c r="A18" s="296"/>
      <c r="B18" s="260" t="s">
        <v>652</v>
      </c>
      <c r="C18" s="261"/>
      <c r="D18" s="262"/>
      <c r="E18" s="263"/>
      <c r="F18" s="263"/>
      <c r="G18" s="297">
        <f>SUM(G9:G17)</f>
        <v>5140</v>
      </c>
      <c r="H18" s="265"/>
      <c r="I18" s="31"/>
      <c r="K18" s="267">
        <f>SUM(K17:K17)</f>
        <v>1850</v>
      </c>
      <c r="L18" s="267">
        <f>SUM(L17:L17)</f>
        <v>-1835</v>
      </c>
      <c r="N18" s="267">
        <f>K18-M18</f>
        <v>1850</v>
      </c>
    </row>
    <row r="19" spans="1:12" ht="30" customHeight="1">
      <c r="A19" s="37">
        <v>10</v>
      </c>
      <c r="B19" s="38" t="s">
        <v>235</v>
      </c>
      <c r="C19" s="40" t="s">
        <v>116</v>
      </c>
      <c r="D19" s="40" t="s">
        <v>653</v>
      </c>
      <c r="E19" s="41" t="s">
        <v>113</v>
      </c>
      <c r="F19" s="50" t="s">
        <v>117</v>
      </c>
      <c r="G19" s="295">
        <v>984</v>
      </c>
      <c r="H19" s="40" t="s">
        <v>63</v>
      </c>
      <c r="I19" s="31"/>
      <c r="K19" s="12">
        <f>154+154</f>
        <v>308</v>
      </c>
      <c r="L19" s="74">
        <f aca="true" t="shared" si="1" ref="L19:L24">G19-K19</f>
        <v>676</v>
      </c>
    </row>
    <row r="20" spans="1:12" ht="30.75" customHeight="1">
      <c r="A20" s="37">
        <v>11</v>
      </c>
      <c r="B20" s="38" t="s">
        <v>433</v>
      </c>
      <c r="C20" s="40" t="s">
        <v>234</v>
      </c>
      <c r="D20" s="40" t="s">
        <v>653</v>
      </c>
      <c r="E20" s="41" t="s">
        <v>113</v>
      </c>
      <c r="F20" s="50" t="s">
        <v>117</v>
      </c>
      <c r="G20" s="295">
        <v>780</v>
      </c>
      <c r="H20" s="40" t="s">
        <v>63</v>
      </c>
      <c r="I20" s="31"/>
      <c r="K20" s="12">
        <f>260</f>
        <v>260</v>
      </c>
      <c r="L20" s="74">
        <f t="shared" si="1"/>
        <v>520</v>
      </c>
    </row>
    <row r="21" spans="1:12" ht="45" customHeight="1">
      <c r="A21" s="37">
        <v>12</v>
      </c>
      <c r="B21" s="38" t="s">
        <v>236</v>
      </c>
      <c r="C21" s="40" t="s">
        <v>119</v>
      </c>
      <c r="D21" s="40" t="s">
        <v>653</v>
      </c>
      <c r="E21" s="41" t="s">
        <v>120</v>
      </c>
      <c r="F21" s="50" t="s">
        <v>605</v>
      </c>
      <c r="G21" s="295">
        <v>504</v>
      </c>
      <c r="H21" s="40" t="s">
        <v>63</v>
      </c>
      <c r="I21" s="31"/>
      <c r="L21" s="74">
        <f t="shared" si="1"/>
        <v>504</v>
      </c>
    </row>
    <row r="22" spans="1:12" ht="30" customHeight="1">
      <c r="A22" s="37">
        <v>13</v>
      </c>
      <c r="B22" s="38" t="s">
        <v>130</v>
      </c>
      <c r="C22" s="40" t="s">
        <v>131</v>
      </c>
      <c r="D22" s="40" t="s">
        <v>653</v>
      </c>
      <c r="E22" s="41" t="s">
        <v>25</v>
      </c>
      <c r="F22" s="41">
        <v>2</v>
      </c>
      <c r="G22" s="295">
        <v>484</v>
      </c>
      <c r="H22" s="40" t="s">
        <v>63</v>
      </c>
      <c r="I22" s="31"/>
      <c r="K22" s="12">
        <v>560</v>
      </c>
      <c r="L22" s="74">
        <f t="shared" si="1"/>
        <v>-76</v>
      </c>
    </row>
    <row r="23" spans="1:12" ht="30" customHeight="1">
      <c r="A23" s="37">
        <v>14</v>
      </c>
      <c r="B23" s="38" t="s">
        <v>130</v>
      </c>
      <c r="C23" s="40" t="s">
        <v>131</v>
      </c>
      <c r="D23" s="40" t="s">
        <v>653</v>
      </c>
      <c r="E23" s="41" t="s">
        <v>25</v>
      </c>
      <c r="F23" s="41">
        <v>1</v>
      </c>
      <c r="G23" s="295">
        <v>244</v>
      </c>
      <c r="H23" s="40" t="s">
        <v>19</v>
      </c>
      <c r="I23" s="31"/>
      <c r="L23" s="74">
        <f t="shared" si="1"/>
        <v>244</v>
      </c>
    </row>
    <row r="24" spans="1:12" ht="30" customHeight="1">
      <c r="A24" s="37">
        <v>15</v>
      </c>
      <c r="B24" s="38" t="s">
        <v>130</v>
      </c>
      <c r="C24" s="40" t="s">
        <v>131</v>
      </c>
      <c r="D24" s="40" t="s">
        <v>653</v>
      </c>
      <c r="E24" s="41" t="s">
        <v>25</v>
      </c>
      <c r="F24" s="41">
        <v>1</v>
      </c>
      <c r="G24" s="295">
        <v>202</v>
      </c>
      <c r="H24" s="40" t="s">
        <v>132</v>
      </c>
      <c r="I24" s="31"/>
      <c r="L24" s="74">
        <f t="shared" si="1"/>
        <v>202</v>
      </c>
    </row>
    <row r="25" spans="1:12" s="10" customFormat="1" ht="30" customHeight="1">
      <c r="A25" s="296"/>
      <c r="B25" s="260" t="s">
        <v>654</v>
      </c>
      <c r="C25" s="261"/>
      <c r="D25" s="262"/>
      <c r="E25" s="263"/>
      <c r="F25" s="263"/>
      <c r="G25" s="297">
        <f>SUM(G19:G24)</f>
        <v>3198</v>
      </c>
      <c r="H25" s="265"/>
      <c r="I25" s="31"/>
      <c r="L25" s="267">
        <f>SUM(L19:L24)</f>
        <v>2070</v>
      </c>
    </row>
    <row r="26" spans="1:12" ht="30" customHeight="1">
      <c r="A26" s="37">
        <v>16</v>
      </c>
      <c r="B26" s="38" t="s">
        <v>137</v>
      </c>
      <c r="C26" s="52" t="s">
        <v>138</v>
      </c>
      <c r="D26" s="40" t="s">
        <v>655</v>
      </c>
      <c r="E26" s="41" t="s">
        <v>140</v>
      </c>
      <c r="F26" s="53">
        <f>G26/67.76</f>
        <v>67.59149940968122</v>
      </c>
      <c r="G26" s="295">
        <v>4580</v>
      </c>
      <c r="H26" s="40" t="s">
        <v>63</v>
      </c>
      <c r="I26" s="31"/>
      <c r="K26" s="12">
        <f>1944.71</f>
        <v>1944.71</v>
      </c>
      <c r="L26" s="74"/>
    </row>
    <row r="27" spans="1:12" s="10" customFormat="1" ht="30" customHeight="1">
      <c r="A27" s="296"/>
      <c r="B27" s="260" t="s">
        <v>656</v>
      </c>
      <c r="C27" s="261"/>
      <c r="D27" s="262"/>
      <c r="E27" s="263"/>
      <c r="F27" s="263"/>
      <c r="G27" s="297">
        <f>G26</f>
        <v>4580</v>
      </c>
      <c r="H27" s="265"/>
      <c r="I27" s="31"/>
      <c r="L27" s="267"/>
    </row>
    <row r="28" spans="1:9" ht="30" customHeight="1">
      <c r="A28" s="37">
        <v>17</v>
      </c>
      <c r="B28" s="38" t="s">
        <v>244</v>
      </c>
      <c r="C28" s="54" t="s">
        <v>245</v>
      </c>
      <c r="D28" s="40" t="s">
        <v>657</v>
      </c>
      <c r="E28" s="41" t="s">
        <v>110</v>
      </c>
      <c r="F28" s="53">
        <v>2.28</v>
      </c>
      <c r="G28" s="295">
        <v>28.93</v>
      </c>
      <c r="H28" s="40" t="s">
        <v>63</v>
      </c>
      <c r="I28" s="31"/>
    </row>
    <row r="29" spans="1:9" ht="30" customHeight="1">
      <c r="A29" s="37">
        <v>18</v>
      </c>
      <c r="B29" s="38" t="s">
        <v>645</v>
      </c>
      <c r="C29" s="55" t="s">
        <v>518</v>
      </c>
      <c r="D29" s="40" t="s">
        <v>657</v>
      </c>
      <c r="E29" s="41" t="s">
        <v>110</v>
      </c>
      <c r="F29" s="53">
        <v>2.28</v>
      </c>
      <c r="G29" s="295">
        <v>31.07</v>
      </c>
      <c r="H29" s="40" t="s">
        <v>63</v>
      </c>
      <c r="I29" s="31"/>
    </row>
    <row r="30" spans="1:9" s="186" customFormat="1" ht="30" customHeight="1">
      <c r="A30" s="298"/>
      <c r="B30" s="260" t="s">
        <v>658</v>
      </c>
      <c r="C30" s="261"/>
      <c r="D30" s="299"/>
      <c r="E30" s="300"/>
      <c r="F30" s="300"/>
      <c r="G30" s="301">
        <f>SUM(G28:G29)</f>
        <v>60</v>
      </c>
      <c r="H30" s="302"/>
      <c r="I30" s="31"/>
    </row>
    <row r="31" spans="1:10" ht="30" customHeight="1">
      <c r="A31" s="37">
        <v>19</v>
      </c>
      <c r="B31" s="38" t="s">
        <v>142</v>
      </c>
      <c r="C31" s="54" t="s">
        <v>143</v>
      </c>
      <c r="D31" s="40" t="s">
        <v>659</v>
      </c>
      <c r="E31" s="41" t="s">
        <v>145</v>
      </c>
      <c r="F31" s="56">
        <f>G31/4.143</f>
        <v>523.7750422399228</v>
      </c>
      <c r="G31" s="295">
        <v>2170</v>
      </c>
      <c r="H31" s="40" t="s">
        <v>63</v>
      </c>
      <c r="I31" s="31"/>
      <c r="J31" s="12">
        <f>482</f>
        <v>482</v>
      </c>
    </row>
    <row r="32" spans="1:9" s="10" customFormat="1" ht="30" customHeight="1">
      <c r="A32" s="296"/>
      <c r="B32" s="260" t="s">
        <v>660</v>
      </c>
      <c r="C32" s="261"/>
      <c r="D32" s="262"/>
      <c r="E32" s="263"/>
      <c r="F32" s="263"/>
      <c r="G32" s="297">
        <f>SUM(G31)</f>
        <v>2170</v>
      </c>
      <c r="H32" s="265"/>
      <c r="I32" s="31"/>
    </row>
    <row r="33" spans="1:9" ht="22.5" customHeight="1">
      <c r="A33" s="102"/>
      <c r="B33" s="103" t="s">
        <v>151</v>
      </c>
      <c r="C33" s="103"/>
      <c r="D33" s="103"/>
      <c r="E33" s="103"/>
      <c r="F33" s="103"/>
      <c r="G33" s="303"/>
      <c r="H33" s="105"/>
      <c r="I33" s="141"/>
    </row>
    <row r="34" spans="1:9" ht="15">
      <c r="A34" s="19"/>
      <c r="B34" s="106" t="s">
        <v>152</v>
      </c>
      <c r="C34" s="107"/>
      <c r="D34" s="108" t="s">
        <v>153</v>
      </c>
      <c r="E34" s="109"/>
      <c r="F34" s="109"/>
      <c r="G34" s="304"/>
      <c r="H34" s="8"/>
      <c r="I34" s="141"/>
    </row>
    <row r="35" spans="1:9" ht="22.5" customHeight="1">
      <c r="A35" s="19"/>
      <c r="B35" s="111"/>
      <c r="C35" s="9"/>
      <c r="D35" s="112" t="s">
        <v>154</v>
      </c>
      <c r="E35" s="113" t="s">
        <v>155</v>
      </c>
      <c r="F35" s="114"/>
      <c r="G35" s="304"/>
      <c r="H35" s="8"/>
      <c r="I35" s="141"/>
    </row>
    <row r="36" spans="1:9" ht="22.5" customHeight="1">
      <c r="A36" s="19"/>
      <c r="B36" s="115" t="s">
        <v>156</v>
      </c>
      <c r="C36" s="116"/>
      <c r="D36" s="108" t="s">
        <v>157</v>
      </c>
      <c r="E36" s="109"/>
      <c r="F36" s="109"/>
      <c r="G36" s="304"/>
      <c r="H36" s="8"/>
      <c r="I36" s="141"/>
    </row>
    <row r="37" spans="1:9" ht="22.5" customHeight="1">
      <c r="A37" s="19"/>
      <c r="B37" s="111"/>
      <c r="C37" s="9"/>
      <c r="D37" s="112" t="s">
        <v>154</v>
      </c>
      <c r="E37" s="113"/>
      <c r="F37" s="114"/>
      <c r="G37" s="304"/>
      <c r="H37" s="8"/>
      <c r="I37" s="141"/>
    </row>
    <row r="38" spans="1:9" ht="22.5" customHeight="1">
      <c r="A38" s="19"/>
      <c r="B38" s="115" t="s">
        <v>158</v>
      </c>
      <c r="C38" s="9"/>
      <c r="D38" s="9"/>
      <c r="E38" s="9"/>
      <c r="F38" s="9"/>
      <c r="G38" s="304"/>
      <c r="H38" s="8"/>
      <c r="I38" s="141"/>
    </row>
    <row r="39" spans="1:9" s="2" customFormat="1" ht="30" customHeight="1">
      <c r="A39" s="169"/>
      <c r="B39" s="305" t="s">
        <v>159</v>
      </c>
      <c r="C39" s="116"/>
      <c r="D39" s="306" t="s">
        <v>160</v>
      </c>
      <c r="E39" s="306"/>
      <c r="F39" s="306"/>
      <c r="G39" s="307"/>
      <c r="H39" s="171"/>
      <c r="I39" s="191"/>
    </row>
    <row r="40" spans="1:9" ht="22.5" customHeight="1">
      <c r="A40" s="19"/>
      <c r="B40" s="119" t="s">
        <v>486</v>
      </c>
      <c r="C40" s="119"/>
      <c r="D40" s="119"/>
      <c r="E40" s="9"/>
      <c r="F40" s="9"/>
      <c r="G40" s="304"/>
      <c r="H40" s="8"/>
      <c r="I40" s="141"/>
    </row>
    <row r="41" spans="2:11" ht="15">
      <c r="B41" s="2"/>
      <c r="C41" s="2"/>
      <c r="D41" s="8"/>
      <c r="E41" s="338"/>
      <c r="F41" s="338"/>
      <c r="G41" s="339"/>
      <c r="H41" s="338"/>
      <c r="I41" s="141"/>
      <c r="J41" s="338"/>
      <c r="K41" s="8"/>
    </row>
    <row r="42" spans="4:11" ht="15">
      <c r="D42" s="3"/>
      <c r="E42" s="3"/>
      <c r="F42" s="19"/>
      <c r="G42" s="19"/>
      <c r="H42" s="8"/>
      <c r="I42" s="141"/>
      <c r="J42" s="8"/>
      <c r="K42" s="8"/>
    </row>
    <row r="44" spans="2:3" ht="15">
      <c r="B44" s="5"/>
      <c r="C44" s="5"/>
    </row>
    <row r="45" spans="2:4" ht="15">
      <c r="B45" s="3"/>
      <c r="C45" s="3"/>
      <c r="D45" s="3"/>
    </row>
  </sheetData>
  <sheetProtection/>
  <mergeCells count="20">
    <mergeCell ref="F1:G1"/>
    <mergeCell ref="A2:I2"/>
    <mergeCell ref="A3:I3"/>
    <mergeCell ref="A4:I4"/>
    <mergeCell ref="B18:C18"/>
    <mergeCell ref="B25:C25"/>
    <mergeCell ref="B27:C27"/>
    <mergeCell ref="B30:C30"/>
    <mergeCell ref="B32:C32"/>
    <mergeCell ref="B45:C4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I10:I32"/>
  </mergeCell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389"/>
  <sheetViews>
    <sheetView view="pageBreakPreview" zoomScale="90" zoomScaleNormal="90" zoomScaleSheetLayoutView="90" workbookViewId="0" topLeftCell="A1">
      <selection activeCell="A1" sqref="A1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24" t="s">
        <v>583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2.5" customHeight="1">
      <c r="A3" s="25" t="s">
        <v>584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17" t="s">
        <v>4</v>
      </c>
      <c r="B4" s="5"/>
      <c r="C4" s="5"/>
      <c r="D4" s="5"/>
      <c r="E4" s="5"/>
      <c r="F4" s="5"/>
      <c r="G4" s="5"/>
      <c r="H4" s="5"/>
      <c r="I4" s="5"/>
    </row>
    <row r="5" ht="15" customHeight="1"/>
    <row r="6" spans="1:11" ht="15.75" customHeight="1">
      <c r="A6" s="26" t="s">
        <v>5</v>
      </c>
      <c r="B6" s="27" t="s">
        <v>6</v>
      </c>
      <c r="C6" s="28" t="s">
        <v>7</v>
      </c>
      <c r="D6" s="28" t="s">
        <v>249</v>
      </c>
      <c r="E6" s="28" t="s">
        <v>9</v>
      </c>
      <c r="F6" s="28" t="s">
        <v>10</v>
      </c>
      <c r="G6" s="28" t="s">
        <v>250</v>
      </c>
      <c r="H6" s="28" t="s">
        <v>251</v>
      </c>
      <c r="I6" s="28" t="s">
        <v>13</v>
      </c>
      <c r="J6" s="71"/>
      <c r="K6" s="71"/>
    </row>
    <row r="7" spans="1:9" ht="31.5" customHeight="1">
      <c r="A7" s="29"/>
      <c r="B7" s="30"/>
      <c r="C7" s="31"/>
      <c r="D7" s="31"/>
      <c r="E7" s="31"/>
      <c r="F7" s="31"/>
      <c r="G7" s="31"/>
      <c r="H7" s="31"/>
      <c r="I7" s="31"/>
    </row>
    <row r="8" spans="1:9" ht="37.5" customHeight="1">
      <c r="A8" s="32"/>
      <c r="B8" s="33"/>
      <c r="C8" s="34"/>
      <c r="D8" s="34"/>
      <c r="E8" s="34"/>
      <c r="F8" s="34"/>
      <c r="G8" s="34"/>
      <c r="H8" s="34"/>
      <c r="I8" s="34"/>
    </row>
    <row r="9" spans="1:15" ht="20.25" customHeight="1">
      <c r="A9" s="32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72">
        <v>9</v>
      </c>
      <c r="O9" s="12" t="s">
        <v>298</v>
      </c>
    </row>
    <row r="10" spans="1:9" ht="30" customHeight="1" hidden="1">
      <c r="A10" s="35" t="s">
        <v>584</v>
      </c>
      <c r="B10" s="36"/>
      <c r="C10" s="36"/>
      <c r="D10" s="36"/>
      <c r="E10" s="36"/>
      <c r="F10" s="36"/>
      <c r="G10" s="36"/>
      <c r="H10" s="36"/>
      <c r="I10" s="36"/>
    </row>
    <row r="11" spans="1:12" ht="30" customHeight="1">
      <c r="A11" s="37">
        <v>1</v>
      </c>
      <c r="B11" s="38" t="s">
        <v>649</v>
      </c>
      <c r="C11" s="39" t="s">
        <v>24</v>
      </c>
      <c r="D11" s="40" t="s">
        <v>650</v>
      </c>
      <c r="E11" s="41" t="s">
        <v>25</v>
      </c>
      <c r="F11" s="41">
        <v>4</v>
      </c>
      <c r="G11" s="295">
        <v>653.8</v>
      </c>
      <c r="H11" s="40" t="s">
        <v>63</v>
      </c>
      <c r="I11" s="73" t="s">
        <v>253</v>
      </c>
      <c r="K11" s="12">
        <v>1850</v>
      </c>
      <c r="L11" s="74">
        <f aca="true" t="shared" si="0" ref="L11:L19">G11-K11</f>
        <v>-1196.2</v>
      </c>
    </row>
    <row r="12" spans="1:12" ht="30" customHeight="1">
      <c r="A12" s="37">
        <v>2</v>
      </c>
      <c r="B12" s="38" t="s">
        <v>589</v>
      </c>
      <c r="C12" s="43" t="s">
        <v>24</v>
      </c>
      <c r="D12" s="40" t="s">
        <v>650</v>
      </c>
      <c r="E12" s="41" t="s">
        <v>25</v>
      </c>
      <c r="F12" s="41">
        <v>3</v>
      </c>
      <c r="G12" s="295">
        <v>496.2</v>
      </c>
      <c r="H12" s="40" t="s">
        <v>63</v>
      </c>
      <c r="I12" s="31"/>
      <c r="K12" s="12">
        <v>1850</v>
      </c>
      <c r="L12" s="74">
        <f t="shared" si="0"/>
        <v>-1353.8</v>
      </c>
    </row>
    <row r="13" spans="1:12" ht="30" customHeight="1">
      <c r="A13" s="37">
        <v>3</v>
      </c>
      <c r="B13" s="38" t="s">
        <v>15</v>
      </c>
      <c r="C13" s="43" t="s">
        <v>16</v>
      </c>
      <c r="D13" s="40" t="s">
        <v>650</v>
      </c>
      <c r="E13" s="41" t="s">
        <v>18</v>
      </c>
      <c r="F13" s="41">
        <v>5</v>
      </c>
      <c r="G13" s="295">
        <v>1050</v>
      </c>
      <c r="H13" s="40" t="s">
        <v>63</v>
      </c>
      <c r="I13" s="31"/>
      <c r="K13" s="12">
        <v>1850</v>
      </c>
      <c r="L13" s="74">
        <f t="shared" si="0"/>
        <v>-800</v>
      </c>
    </row>
    <row r="14" spans="1:12" ht="30" customHeight="1">
      <c r="A14" s="37">
        <v>4</v>
      </c>
      <c r="B14" s="38" t="s">
        <v>649</v>
      </c>
      <c r="C14" s="43" t="s">
        <v>24</v>
      </c>
      <c r="D14" s="40" t="s">
        <v>650</v>
      </c>
      <c r="E14" s="41" t="s">
        <v>25</v>
      </c>
      <c r="F14" s="41">
        <v>2</v>
      </c>
      <c r="G14" s="295">
        <v>328</v>
      </c>
      <c r="H14" s="40" t="s">
        <v>19</v>
      </c>
      <c r="I14" s="31"/>
      <c r="K14" s="12">
        <v>1850</v>
      </c>
      <c r="L14" s="74">
        <f t="shared" si="0"/>
        <v>-1522</v>
      </c>
    </row>
    <row r="15" spans="1:12" ht="30" customHeight="1">
      <c r="A15" s="37">
        <v>5</v>
      </c>
      <c r="B15" s="38" t="s">
        <v>589</v>
      </c>
      <c r="C15" s="43" t="s">
        <v>24</v>
      </c>
      <c r="D15" s="40" t="s">
        <v>650</v>
      </c>
      <c r="E15" s="41" t="s">
        <v>25</v>
      </c>
      <c r="F15" s="41">
        <v>2</v>
      </c>
      <c r="G15" s="295">
        <v>332</v>
      </c>
      <c r="H15" s="40" t="s">
        <v>19</v>
      </c>
      <c r="I15" s="31"/>
      <c r="K15" s="12">
        <v>1850</v>
      </c>
      <c r="L15" s="74">
        <f t="shared" si="0"/>
        <v>-1518</v>
      </c>
    </row>
    <row r="16" spans="1:12" ht="30" customHeight="1">
      <c r="A16" s="37">
        <v>6</v>
      </c>
      <c r="B16" s="38" t="s">
        <v>15</v>
      </c>
      <c r="C16" s="43" t="s">
        <v>16</v>
      </c>
      <c r="D16" s="40" t="s">
        <v>650</v>
      </c>
      <c r="E16" s="41" t="s">
        <v>18</v>
      </c>
      <c r="F16" s="41">
        <v>4</v>
      </c>
      <c r="G16" s="295">
        <v>840</v>
      </c>
      <c r="H16" s="40" t="s">
        <v>19</v>
      </c>
      <c r="I16" s="31"/>
      <c r="K16" s="12">
        <v>1850</v>
      </c>
      <c r="L16" s="74">
        <f t="shared" si="0"/>
        <v>-1010</v>
      </c>
    </row>
    <row r="17" spans="1:12" ht="30" customHeight="1">
      <c r="A17" s="37">
        <v>7</v>
      </c>
      <c r="B17" s="38" t="s">
        <v>589</v>
      </c>
      <c r="C17" s="43" t="s">
        <v>24</v>
      </c>
      <c r="D17" s="40" t="s">
        <v>650</v>
      </c>
      <c r="E17" s="41" t="s">
        <v>25</v>
      </c>
      <c r="F17" s="41">
        <v>1</v>
      </c>
      <c r="G17" s="295">
        <v>165</v>
      </c>
      <c r="H17" s="40" t="s">
        <v>132</v>
      </c>
      <c r="I17" s="31"/>
      <c r="K17" s="12">
        <v>1850</v>
      </c>
      <c r="L17" s="74">
        <f t="shared" si="0"/>
        <v>-1685</v>
      </c>
    </row>
    <row r="18" spans="1:12" ht="30" customHeight="1">
      <c r="A18" s="37">
        <v>8</v>
      </c>
      <c r="B18" s="38" t="s">
        <v>15</v>
      </c>
      <c r="C18" s="43" t="s">
        <v>16</v>
      </c>
      <c r="D18" s="40" t="s">
        <v>650</v>
      </c>
      <c r="E18" s="41" t="s">
        <v>18</v>
      </c>
      <c r="F18" s="41">
        <v>6</v>
      </c>
      <c r="G18" s="295">
        <v>1260</v>
      </c>
      <c r="H18" s="40" t="s">
        <v>132</v>
      </c>
      <c r="I18" s="31"/>
      <c r="K18" s="12">
        <v>1850</v>
      </c>
      <c r="L18" s="74">
        <f t="shared" si="0"/>
        <v>-590</v>
      </c>
    </row>
    <row r="19" spans="1:12" ht="30" customHeight="1">
      <c r="A19" s="37">
        <v>9</v>
      </c>
      <c r="B19" s="38" t="s">
        <v>651</v>
      </c>
      <c r="C19" s="43" t="s">
        <v>16</v>
      </c>
      <c r="D19" s="40" t="s">
        <v>650</v>
      </c>
      <c r="E19" s="41" t="s">
        <v>25</v>
      </c>
      <c r="F19" s="41">
        <v>1</v>
      </c>
      <c r="G19" s="295">
        <v>15</v>
      </c>
      <c r="H19" s="40" t="s">
        <v>132</v>
      </c>
      <c r="I19" s="31"/>
      <c r="K19" s="12">
        <v>1850</v>
      </c>
      <c r="L19" s="74">
        <f t="shared" si="0"/>
        <v>-1835</v>
      </c>
    </row>
    <row r="20" spans="1:14" s="10" customFormat="1" ht="30" customHeight="1">
      <c r="A20" s="296"/>
      <c r="B20" s="260" t="s">
        <v>652</v>
      </c>
      <c r="C20" s="261"/>
      <c r="D20" s="262"/>
      <c r="E20" s="263"/>
      <c r="F20" s="263"/>
      <c r="G20" s="297">
        <f>SUM(G11:G19)</f>
        <v>5140</v>
      </c>
      <c r="H20" s="265"/>
      <c r="I20" s="31"/>
      <c r="K20" s="267">
        <f>SUM(K19:K19)</f>
        <v>1850</v>
      </c>
      <c r="L20" s="267">
        <f>SUM(L19:L19)</f>
        <v>-1835</v>
      </c>
      <c r="N20" s="267">
        <f>K20-M20</f>
        <v>1850</v>
      </c>
    </row>
    <row r="21" spans="1:12" ht="30" customHeight="1">
      <c r="A21" s="37">
        <v>10</v>
      </c>
      <c r="B21" s="38" t="s">
        <v>235</v>
      </c>
      <c r="C21" s="40" t="s">
        <v>116</v>
      </c>
      <c r="D21" s="40" t="s">
        <v>653</v>
      </c>
      <c r="E21" s="41" t="s">
        <v>113</v>
      </c>
      <c r="F21" s="50" t="s">
        <v>117</v>
      </c>
      <c r="G21" s="295">
        <v>984</v>
      </c>
      <c r="H21" s="40" t="s">
        <v>63</v>
      </c>
      <c r="I21" s="31"/>
      <c r="K21" s="12">
        <f>154+154</f>
        <v>308</v>
      </c>
      <c r="L21" s="74">
        <f aca="true" t="shared" si="1" ref="L21:L26">G21-K21</f>
        <v>676</v>
      </c>
    </row>
    <row r="22" spans="1:12" ht="30.75" customHeight="1">
      <c r="A22" s="37">
        <v>11</v>
      </c>
      <c r="B22" s="38" t="s">
        <v>433</v>
      </c>
      <c r="C22" s="40" t="s">
        <v>234</v>
      </c>
      <c r="D22" s="40" t="s">
        <v>653</v>
      </c>
      <c r="E22" s="41" t="s">
        <v>113</v>
      </c>
      <c r="F22" s="50" t="s">
        <v>117</v>
      </c>
      <c r="G22" s="295">
        <v>780</v>
      </c>
      <c r="H22" s="40" t="s">
        <v>63</v>
      </c>
      <c r="I22" s="31"/>
      <c r="K22" s="12">
        <f>260</f>
        <v>260</v>
      </c>
      <c r="L22" s="74">
        <f t="shared" si="1"/>
        <v>520</v>
      </c>
    </row>
    <row r="23" spans="1:12" ht="45" customHeight="1">
      <c r="A23" s="37">
        <v>12</v>
      </c>
      <c r="B23" s="38" t="s">
        <v>236</v>
      </c>
      <c r="C23" s="40" t="s">
        <v>119</v>
      </c>
      <c r="D23" s="40" t="s">
        <v>653</v>
      </c>
      <c r="E23" s="41" t="s">
        <v>120</v>
      </c>
      <c r="F23" s="50" t="s">
        <v>605</v>
      </c>
      <c r="G23" s="295">
        <v>504</v>
      </c>
      <c r="H23" s="40" t="s">
        <v>63</v>
      </c>
      <c r="I23" s="31"/>
      <c r="L23" s="74">
        <f t="shared" si="1"/>
        <v>504</v>
      </c>
    </row>
    <row r="24" spans="1:12" ht="30" customHeight="1">
      <c r="A24" s="37">
        <v>13</v>
      </c>
      <c r="B24" s="38" t="s">
        <v>130</v>
      </c>
      <c r="C24" s="40" t="s">
        <v>131</v>
      </c>
      <c r="D24" s="40" t="s">
        <v>653</v>
      </c>
      <c r="E24" s="41" t="s">
        <v>25</v>
      </c>
      <c r="F24" s="41">
        <v>2</v>
      </c>
      <c r="G24" s="295">
        <v>484</v>
      </c>
      <c r="H24" s="40" t="s">
        <v>63</v>
      </c>
      <c r="I24" s="31"/>
      <c r="K24" s="12">
        <v>560</v>
      </c>
      <c r="L24" s="74">
        <f t="shared" si="1"/>
        <v>-76</v>
      </c>
    </row>
    <row r="25" spans="1:12" ht="30" customHeight="1">
      <c r="A25" s="37">
        <v>14</v>
      </c>
      <c r="B25" s="38" t="s">
        <v>130</v>
      </c>
      <c r="C25" s="40" t="s">
        <v>131</v>
      </c>
      <c r="D25" s="40" t="s">
        <v>653</v>
      </c>
      <c r="E25" s="41" t="s">
        <v>25</v>
      </c>
      <c r="F25" s="41">
        <v>1</v>
      </c>
      <c r="G25" s="295">
        <v>244</v>
      </c>
      <c r="H25" s="40" t="s">
        <v>19</v>
      </c>
      <c r="I25" s="31"/>
      <c r="L25" s="74">
        <f t="shared" si="1"/>
        <v>244</v>
      </c>
    </row>
    <row r="26" spans="1:12" ht="30" customHeight="1">
      <c r="A26" s="37">
        <v>15</v>
      </c>
      <c r="B26" s="38" t="s">
        <v>130</v>
      </c>
      <c r="C26" s="40" t="s">
        <v>131</v>
      </c>
      <c r="D26" s="40" t="s">
        <v>653</v>
      </c>
      <c r="E26" s="41" t="s">
        <v>25</v>
      </c>
      <c r="F26" s="41">
        <v>1</v>
      </c>
      <c r="G26" s="295">
        <v>202</v>
      </c>
      <c r="H26" s="40" t="s">
        <v>132</v>
      </c>
      <c r="I26" s="31"/>
      <c r="L26" s="74">
        <f t="shared" si="1"/>
        <v>202</v>
      </c>
    </row>
    <row r="27" spans="1:12" s="10" customFormat="1" ht="30" customHeight="1">
      <c r="A27" s="296"/>
      <c r="B27" s="260" t="s">
        <v>654</v>
      </c>
      <c r="C27" s="261"/>
      <c r="D27" s="262"/>
      <c r="E27" s="263"/>
      <c r="F27" s="263"/>
      <c r="G27" s="297">
        <f>SUM(G21:G26)</f>
        <v>3198</v>
      </c>
      <c r="H27" s="265"/>
      <c r="I27" s="31"/>
      <c r="L27" s="267">
        <f>SUM(L21:L26)</f>
        <v>2070</v>
      </c>
    </row>
    <row r="28" spans="1:12" ht="30" customHeight="1">
      <c r="A28" s="37">
        <v>16</v>
      </c>
      <c r="B28" s="38" t="s">
        <v>137</v>
      </c>
      <c r="C28" s="52" t="s">
        <v>138</v>
      </c>
      <c r="D28" s="40" t="s">
        <v>655</v>
      </c>
      <c r="E28" s="41" t="s">
        <v>140</v>
      </c>
      <c r="F28" s="53">
        <f>G28/67.76</f>
        <v>67.59149940968122</v>
      </c>
      <c r="G28" s="295">
        <v>4580</v>
      </c>
      <c r="H28" s="40" t="s">
        <v>63</v>
      </c>
      <c r="I28" s="31"/>
      <c r="K28" s="12">
        <f>1944.71</f>
        <v>1944.71</v>
      </c>
      <c r="L28" s="74"/>
    </row>
    <row r="29" spans="1:12" s="10" customFormat="1" ht="30" customHeight="1">
      <c r="A29" s="296"/>
      <c r="B29" s="260" t="s">
        <v>656</v>
      </c>
      <c r="C29" s="261"/>
      <c r="D29" s="262"/>
      <c r="E29" s="263"/>
      <c r="F29" s="263"/>
      <c r="G29" s="297">
        <f>G28</f>
        <v>4580</v>
      </c>
      <c r="H29" s="265"/>
      <c r="I29" s="31"/>
      <c r="L29" s="267"/>
    </row>
    <row r="30" spans="1:9" ht="30" customHeight="1">
      <c r="A30" s="37">
        <v>17</v>
      </c>
      <c r="B30" s="38" t="s">
        <v>244</v>
      </c>
      <c r="C30" s="54" t="s">
        <v>245</v>
      </c>
      <c r="D30" s="40" t="s">
        <v>657</v>
      </c>
      <c r="E30" s="41" t="s">
        <v>110</v>
      </c>
      <c r="F30" s="53">
        <v>2.28</v>
      </c>
      <c r="G30" s="295">
        <v>28.93</v>
      </c>
      <c r="H30" s="40" t="s">
        <v>63</v>
      </c>
      <c r="I30" s="31"/>
    </row>
    <row r="31" spans="1:9" ht="30" customHeight="1">
      <c r="A31" s="37">
        <v>18</v>
      </c>
      <c r="B31" s="38" t="s">
        <v>645</v>
      </c>
      <c r="C31" s="55" t="s">
        <v>518</v>
      </c>
      <c r="D31" s="40" t="s">
        <v>657</v>
      </c>
      <c r="E31" s="41" t="s">
        <v>110</v>
      </c>
      <c r="F31" s="53">
        <v>2.28</v>
      </c>
      <c r="G31" s="295">
        <v>31.07</v>
      </c>
      <c r="H31" s="40" t="s">
        <v>63</v>
      </c>
      <c r="I31" s="31"/>
    </row>
    <row r="32" spans="1:9" s="186" customFormat="1" ht="30" customHeight="1">
      <c r="A32" s="298"/>
      <c r="B32" s="260" t="s">
        <v>658</v>
      </c>
      <c r="C32" s="261"/>
      <c r="D32" s="299"/>
      <c r="E32" s="300"/>
      <c r="F32" s="300"/>
      <c r="G32" s="301">
        <f>SUM(G30:G31)</f>
        <v>60</v>
      </c>
      <c r="H32" s="302"/>
      <c r="I32" s="31"/>
    </row>
    <row r="33" spans="1:10" ht="30" customHeight="1">
      <c r="A33" s="37">
        <v>19</v>
      </c>
      <c r="B33" s="38" t="s">
        <v>142</v>
      </c>
      <c r="C33" s="54" t="s">
        <v>143</v>
      </c>
      <c r="D33" s="40" t="s">
        <v>659</v>
      </c>
      <c r="E33" s="41" t="s">
        <v>145</v>
      </c>
      <c r="F33" s="56">
        <f>G33/4.143</f>
        <v>523.7750422399228</v>
      </c>
      <c r="G33" s="295">
        <v>2170</v>
      </c>
      <c r="H33" s="40" t="s">
        <v>63</v>
      </c>
      <c r="I33" s="31"/>
      <c r="J33" s="12">
        <f>482</f>
        <v>482</v>
      </c>
    </row>
    <row r="34" spans="1:9" s="10" customFormat="1" ht="30" customHeight="1">
      <c r="A34" s="296"/>
      <c r="B34" s="260" t="s">
        <v>660</v>
      </c>
      <c r="C34" s="261"/>
      <c r="D34" s="262"/>
      <c r="E34" s="263"/>
      <c r="F34" s="263"/>
      <c r="G34" s="297">
        <f>SUM(G33)</f>
        <v>2170</v>
      </c>
      <c r="H34" s="265"/>
      <c r="I34" s="31"/>
    </row>
    <row r="35" spans="1:9" ht="22.5" customHeight="1">
      <c r="A35" s="102"/>
      <c r="B35" s="103" t="s">
        <v>151</v>
      </c>
      <c r="C35" s="103"/>
      <c r="D35" s="103"/>
      <c r="E35" s="103"/>
      <c r="F35" s="103"/>
      <c r="G35" s="303"/>
      <c r="H35" s="105"/>
      <c r="I35" s="141"/>
    </row>
    <row r="36" spans="1:9" ht="15">
      <c r="A36" s="19"/>
      <c r="B36" s="106" t="s">
        <v>152</v>
      </c>
      <c r="C36" s="107"/>
      <c r="D36" s="108" t="s">
        <v>153</v>
      </c>
      <c r="E36" s="109"/>
      <c r="F36" s="109"/>
      <c r="G36" s="304"/>
      <c r="H36" s="8"/>
      <c r="I36" s="141"/>
    </row>
    <row r="37" spans="1:9" ht="22.5" customHeight="1">
      <c r="A37" s="19"/>
      <c r="B37" s="111"/>
      <c r="C37" s="9"/>
      <c r="D37" s="112" t="s">
        <v>154</v>
      </c>
      <c r="E37" s="113" t="s">
        <v>155</v>
      </c>
      <c r="F37" s="114"/>
      <c r="G37" s="304"/>
      <c r="H37" s="8"/>
      <c r="I37" s="141"/>
    </row>
    <row r="38" spans="1:9" ht="22.5" customHeight="1">
      <c r="A38" s="19"/>
      <c r="B38" s="115" t="s">
        <v>156</v>
      </c>
      <c r="C38" s="116"/>
      <c r="D38" s="108" t="s">
        <v>157</v>
      </c>
      <c r="E38" s="109"/>
      <c r="F38" s="109"/>
      <c r="G38" s="304"/>
      <c r="H38" s="8"/>
      <c r="I38" s="141"/>
    </row>
    <row r="39" spans="1:9" ht="22.5" customHeight="1">
      <c r="A39" s="19"/>
      <c r="B39" s="111"/>
      <c r="C39" s="9"/>
      <c r="D39" s="112" t="s">
        <v>154</v>
      </c>
      <c r="E39" s="113"/>
      <c r="F39" s="114"/>
      <c r="G39" s="304"/>
      <c r="H39" s="8"/>
      <c r="I39" s="141"/>
    </row>
    <row r="40" spans="1:9" ht="22.5" customHeight="1">
      <c r="A40" s="19"/>
      <c r="B40" s="115" t="s">
        <v>158</v>
      </c>
      <c r="C40" s="9"/>
      <c r="D40" s="9"/>
      <c r="E40" s="9"/>
      <c r="F40" s="9"/>
      <c r="G40" s="304"/>
      <c r="H40" s="8"/>
      <c r="I40" s="141"/>
    </row>
    <row r="41" spans="1:9" s="2" customFormat="1" ht="30" customHeight="1">
      <c r="A41" s="169"/>
      <c r="B41" s="305" t="s">
        <v>159</v>
      </c>
      <c r="C41" s="116"/>
      <c r="D41" s="306" t="s">
        <v>160</v>
      </c>
      <c r="E41" s="306"/>
      <c r="F41" s="306"/>
      <c r="G41" s="307"/>
      <c r="H41" s="171"/>
      <c r="I41" s="191"/>
    </row>
    <row r="42" spans="1:9" ht="22.5" customHeight="1">
      <c r="A42" s="19"/>
      <c r="B42" s="119" t="s">
        <v>486</v>
      </c>
      <c r="C42" s="119"/>
      <c r="D42" s="119"/>
      <c r="E42" s="9"/>
      <c r="F42" s="9"/>
      <c r="G42" s="304"/>
      <c r="H42" s="8"/>
      <c r="I42" s="141"/>
    </row>
    <row r="43" spans="1:9" ht="67.5" customHeight="1">
      <c r="A43" s="19"/>
      <c r="B43" s="8" t="s">
        <v>0</v>
      </c>
      <c r="C43" s="20"/>
      <c r="D43" s="21"/>
      <c r="E43" s="22"/>
      <c r="F43" s="23" t="s">
        <v>1</v>
      </c>
      <c r="G43" s="23"/>
      <c r="H43" s="21"/>
      <c r="I43" s="70"/>
    </row>
    <row r="44" spans="1:9" ht="45" customHeight="1">
      <c r="A44" s="24" t="s">
        <v>583</v>
      </c>
      <c r="B44" s="24"/>
      <c r="C44" s="24"/>
      <c r="D44" s="24"/>
      <c r="E44" s="24"/>
      <c r="F44" s="24"/>
      <c r="G44" s="24"/>
      <c r="H44" s="24"/>
      <c r="I44" s="24"/>
    </row>
    <row r="45" spans="1:9" s="1" customFormat="1" ht="22.5" customHeight="1">
      <c r="A45" s="25" t="s">
        <v>584</v>
      </c>
      <c r="B45" s="3"/>
      <c r="C45" s="3"/>
      <c r="D45" s="3"/>
      <c r="E45" s="3"/>
      <c r="F45" s="3"/>
      <c r="G45" s="3"/>
      <c r="H45" s="3"/>
      <c r="I45" s="3"/>
    </row>
    <row r="46" spans="1:9" ht="15" customHeight="1">
      <c r="A46" s="17" t="s">
        <v>4</v>
      </c>
      <c r="B46" s="5"/>
      <c r="C46" s="5"/>
      <c r="D46" s="5"/>
      <c r="E46" s="5"/>
      <c r="F46" s="5"/>
      <c r="G46" s="5"/>
      <c r="H46" s="5"/>
      <c r="I46" s="5"/>
    </row>
    <row r="47" ht="15" customHeight="1"/>
    <row r="48" spans="1:11" ht="15.75" customHeight="1">
      <c r="A48" s="26" t="s">
        <v>5</v>
      </c>
      <c r="B48" s="27" t="s">
        <v>6</v>
      </c>
      <c r="C48" s="28" t="s">
        <v>7</v>
      </c>
      <c r="D48" s="63" t="s">
        <v>8</v>
      </c>
      <c r="E48" s="28" t="s">
        <v>9</v>
      </c>
      <c r="F48" s="28" t="s">
        <v>10</v>
      </c>
      <c r="G48" s="63" t="s">
        <v>11</v>
      </c>
      <c r="H48" s="63" t="s">
        <v>12</v>
      </c>
      <c r="I48" s="63" t="s">
        <v>13</v>
      </c>
      <c r="J48" s="71"/>
      <c r="K48" s="71"/>
    </row>
    <row r="49" spans="1:9" ht="31.5" customHeight="1">
      <c r="A49" s="29"/>
      <c r="B49" s="30"/>
      <c r="C49" s="31"/>
      <c r="D49" s="65"/>
      <c r="E49" s="31"/>
      <c r="F49" s="31"/>
      <c r="G49" s="65"/>
      <c r="H49" s="65"/>
      <c r="I49" s="65"/>
    </row>
    <row r="50" spans="1:9" ht="37.5" customHeight="1">
      <c r="A50" s="32"/>
      <c r="B50" s="33"/>
      <c r="C50" s="34"/>
      <c r="D50" s="67"/>
      <c r="E50" s="34"/>
      <c r="F50" s="34"/>
      <c r="G50" s="67"/>
      <c r="H50" s="67"/>
      <c r="I50" s="67"/>
    </row>
    <row r="51" spans="1:9" ht="20.25" customHeight="1">
      <c r="A51" s="32">
        <v>1</v>
      </c>
      <c r="B51" s="33">
        <v>2</v>
      </c>
      <c r="C51" s="34">
        <v>3</v>
      </c>
      <c r="D51" s="67">
        <v>4</v>
      </c>
      <c r="E51" s="34">
        <v>5</v>
      </c>
      <c r="F51" s="34">
        <v>6</v>
      </c>
      <c r="G51" s="67">
        <v>7</v>
      </c>
      <c r="H51" s="67">
        <v>8</v>
      </c>
      <c r="I51" s="76">
        <v>9</v>
      </c>
    </row>
    <row r="52" spans="1:12" ht="32.25" customHeight="1">
      <c r="A52" s="37">
        <v>20</v>
      </c>
      <c r="B52" s="38" t="s">
        <v>15</v>
      </c>
      <c r="C52" s="39" t="s">
        <v>16</v>
      </c>
      <c r="D52" s="40" t="s">
        <v>635</v>
      </c>
      <c r="E52" s="41" t="s">
        <v>18</v>
      </c>
      <c r="F52" s="41">
        <v>8</v>
      </c>
      <c r="G52" s="295">
        <v>1680</v>
      </c>
      <c r="H52" s="40" t="s">
        <v>63</v>
      </c>
      <c r="I52" s="77" t="s">
        <v>253</v>
      </c>
      <c r="L52" s="74">
        <f>G52-K52</f>
        <v>1680</v>
      </c>
    </row>
    <row r="53" spans="1:12" ht="29.25" customHeight="1">
      <c r="A53" s="37">
        <v>21</v>
      </c>
      <c r="B53" s="38" t="s">
        <v>166</v>
      </c>
      <c r="C53" s="43" t="s">
        <v>16</v>
      </c>
      <c r="D53" s="40" t="s">
        <v>635</v>
      </c>
      <c r="E53" s="41" t="s">
        <v>25</v>
      </c>
      <c r="F53" s="41">
        <v>1</v>
      </c>
      <c r="G53" s="295">
        <v>20</v>
      </c>
      <c r="H53" s="40" t="s">
        <v>63</v>
      </c>
      <c r="I53" s="31"/>
      <c r="L53" s="74"/>
    </row>
    <row r="54" spans="1:14" s="10" customFormat="1" ht="30" customHeight="1">
      <c r="A54" s="296"/>
      <c r="B54" s="260" t="s">
        <v>636</v>
      </c>
      <c r="C54" s="261"/>
      <c r="D54" s="262"/>
      <c r="E54" s="263"/>
      <c r="F54" s="263"/>
      <c r="G54" s="297">
        <f>SUM(G52:G53)</f>
        <v>1700</v>
      </c>
      <c r="H54" s="265"/>
      <c r="I54" s="31"/>
      <c r="K54" s="267">
        <f>SUM(K52:K53)</f>
        <v>0</v>
      </c>
      <c r="L54" s="267">
        <f>SUM(L53:L53)</f>
        <v>0</v>
      </c>
      <c r="N54" s="267"/>
    </row>
    <row r="55" spans="1:12" ht="43.5" customHeight="1">
      <c r="A55" s="37">
        <v>22</v>
      </c>
      <c r="B55" s="38" t="s">
        <v>236</v>
      </c>
      <c r="C55" s="40" t="s">
        <v>119</v>
      </c>
      <c r="D55" s="40" t="s">
        <v>637</v>
      </c>
      <c r="E55" s="41" t="s">
        <v>120</v>
      </c>
      <c r="F55" s="50" t="s">
        <v>605</v>
      </c>
      <c r="G55" s="295">
        <v>868</v>
      </c>
      <c r="H55" s="40" t="s">
        <v>63</v>
      </c>
      <c r="I55" s="31"/>
      <c r="L55" s="74">
        <f aca="true" t="shared" si="2" ref="L55:L62">G55-K55</f>
        <v>868</v>
      </c>
    </row>
    <row r="56" spans="1:12" ht="30.75" customHeight="1">
      <c r="A56" s="37">
        <v>23</v>
      </c>
      <c r="B56" s="38" t="s">
        <v>433</v>
      </c>
      <c r="C56" s="40" t="s">
        <v>234</v>
      </c>
      <c r="D56" s="40" t="s">
        <v>637</v>
      </c>
      <c r="E56" s="41" t="s">
        <v>113</v>
      </c>
      <c r="F56" s="50" t="s">
        <v>117</v>
      </c>
      <c r="G56" s="295">
        <v>3780</v>
      </c>
      <c r="H56" s="40" t="s">
        <v>63</v>
      </c>
      <c r="I56" s="31"/>
      <c r="K56" s="12">
        <f>1260</f>
        <v>1260</v>
      </c>
      <c r="L56" s="74">
        <f t="shared" si="2"/>
        <v>2520</v>
      </c>
    </row>
    <row r="57" spans="1:12" ht="29.25" customHeight="1">
      <c r="A57" s="37">
        <v>24</v>
      </c>
      <c r="B57" s="38" t="s">
        <v>130</v>
      </c>
      <c r="C57" s="40" t="s">
        <v>131</v>
      </c>
      <c r="D57" s="40" t="s">
        <v>637</v>
      </c>
      <c r="E57" s="41" t="s">
        <v>25</v>
      </c>
      <c r="F57" s="50">
        <v>2</v>
      </c>
      <c r="G57" s="295">
        <v>560</v>
      </c>
      <c r="H57" s="40" t="s">
        <v>63</v>
      </c>
      <c r="I57" s="31"/>
      <c r="L57" s="74">
        <f t="shared" si="2"/>
        <v>560</v>
      </c>
    </row>
    <row r="58" spans="1:12" ht="29.25" customHeight="1">
      <c r="A58" s="37">
        <v>25</v>
      </c>
      <c r="B58" s="38" t="s">
        <v>130</v>
      </c>
      <c r="C58" s="40" t="s">
        <v>131</v>
      </c>
      <c r="D58" s="40" t="s">
        <v>637</v>
      </c>
      <c r="E58" s="41" t="s">
        <v>25</v>
      </c>
      <c r="F58" s="50">
        <v>2</v>
      </c>
      <c r="G58" s="295">
        <v>560</v>
      </c>
      <c r="H58" s="40" t="s">
        <v>19</v>
      </c>
      <c r="I58" s="31"/>
      <c r="L58" s="74">
        <f t="shared" si="2"/>
        <v>560</v>
      </c>
    </row>
    <row r="59" spans="1:12" ht="29.25" customHeight="1">
      <c r="A59" s="37">
        <v>26</v>
      </c>
      <c r="B59" s="38" t="s">
        <v>130</v>
      </c>
      <c r="C59" s="40" t="s">
        <v>131</v>
      </c>
      <c r="D59" s="40" t="s">
        <v>637</v>
      </c>
      <c r="E59" s="41" t="s">
        <v>25</v>
      </c>
      <c r="F59" s="50">
        <v>2</v>
      </c>
      <c r="G59" s="295">
        <v>560</v>
      </c>
      <c r="H59" s="40" t="s">
        <v>132</v>
      </c>
      <c r="I59" s="31"/>
      <c r="L59" s="74">
        <f t="shared" si="2"/>
        <v>560</v>
      </c>
    </row>
    <row r="60" spans="1:12" ht="30" customHeight="1">
      <c r="A60" s="37">
        <v>27</v>
      </c>
      <c r="B60" s="38" t="s">
        <v>638</v>
      </c>
      <c r="C60" s="40" t="s">
        <v>131</v>
      </c>
      <c r="D60" s="40" t="s">
        <v>637</v>
      </c>
      <c r="E60" s="41" t="s">
        <v>25</v>
      </c>
      <c r="F60" s="41">
        <v>1</v>
      </c>
      <c r="G60" s="295">
        <v>1370</v>
      </c>
      <c r="H60" s="40" t="s">
        <v>63</v>
      </c>
      <c r="I60" s="31"/>
      <c r="L60" s="74">
        <f t="shared" si="2"/>
        <v>1370</v>
      </c>
    </row>
    <row r="61" spans="1:12" ht="30" customHeight="1">
      <c r="A61" s="37">
        <v>28</v>
      </c>
      <c r="B61" s="38" t="s">
        <v>639</v>
      </c>
      <c r="C61" s="40" t="s">
        <v>123</v>
      </c>
      <c r="D61" s="40" t="s">
        <v>637</v>
      </c>
      <c r="E61" s="41" t="s">
        <v>113</v>
      </c>
      <c r="F61" s="41" t="s">
        <v>640</v>
      </c>
      <c r="G61" s="295">
        <v>2</v>
      </c>
      <c r="H61" s="40" t="s">
        <v>132</v>
      </c>
      <c r="I61" s="31"/>
      <c r="L61" s="74">
        <f t="shared" si="2"/>
        <v>2</v>
      </c>
    </row>
    <row r="62" spans="1:12" s="10" customFormat="1" ht="29.25" customHeight="1">
      <c r="A62" s="296"/>
      <c r="B62" s="260" t="s">
        <v>641</v>
      </c>
      <c r="C62" s="261"/>
      <c r="D62" s="262"/>
      <c r="E62" s="263"/>
      <c r="F62" s="263"/>
      <c r="G62" s="297">
        <f>SUM(G55:G61)</f>
        <v>7700</v>
      </c>
      <c r="H62" s="265"/>
      <c r="I62" s="31"/>
      <c r="L62" s="267">
        <f t="shared" si="2"/>
        <v>7700</v>
      </c>
    </row>
    <row r="63" spans="1:12" ht="33" customHeight="1">
      <c r="A63" s="37">
        <v>29</v>
      </c>
      <c r="B63" s="38" t="s">
        <v>137</v>
      </c>
      <c r="C63" s="52" t="s">
        <v>138</v>
      </c>
      <c r="D63" s="40" t="s">
        <v>642</v>
      </c>
      <c r="E63" s="41" t="s">
        <v>579</v>
      </c>
      <c r="F63" s="69">
        <f>G63/2878.55</f>
        <v>2.640218165395772</v>
      </c>
      <c r="G63" s="295">
        <v>7600</v>
      </c>
      <c r="H63" s="40" t="s">
        <v>63</v>
      </c>
      <c r="I63" s="31"/>
      <c r="L63" s="74"/>
    </row>
    <row r="64" spans="1:12" s="10" customFormat="1" ht="30" customHeight="1">
      <c r="A64" s="296"/>
      <c r="B64" s="260" t="s">
        <v>643</v>
      </c>
      <c r="C64" s="261"/>
      <c r="D64" s="262"/>
      <c r="E64" s="263"/>
      <c r="F64" s="263"/>
      <c r="G64" s="297">
        <f>G63</f>
        <v>7600</v>
      </c>
      <c r="H64" s="265"/>
      <c r="I64" s="31"/>
      <c r="L64" s="267"/>
    </row>
    <row r="65" spans="1:11" ht="31.5" customHeight="1">
      <c r="A65" s="37">
        <v>30</v>
      </c>
      <c r="B65" s="38" t="s">
        <v>244</v>
      </c>
      <c r="C65" s="54" t="s">
        <v>245</v>
      </c>
      <c r="D65" s="40" t="s">
        <v>644</v>
      </c>
      <c r="E65" s="41" t="s">
        <v>110</v>
      </c>
      <c r="F65" s="53">
        <v>3.789314</v>
      </c>
      <c r="G65" s="295">
        <v>48.21</v>
      </c>
      <c r="H65" s="40" t="s">
        <v>63</v>
      </c>
      <c r="I65" s="31"/>
      <c r="K65" s="12">
        <f>11.23</f>
        <v>11.23</v>
      </c>
    </row>
    <row r="66" spans="1:9" ht="30.75" customHeight="1">
      <c r="A66" s="37">
        <v>31</v>
      </c>
      <c r="B66" s="38" t="s">
        <v>645</v>
      </c>
      <c r="C66" s="55" t="s">
        <v>518</v>
      </c>
      <c r="D66" s="40" t="s">
        <v>644</v>
      </c>
      <c r="E66" s="41" t="s">
        <v>110</v>
      </c>
      <c r="F66" s="53">
        <v>3.789314</v>
      </c>
      <c r="G66" s="295">
        <v>51.79</v>
      </c>
      <c r="H66" s="40" t="s">
        <v>63</v>
      </c>
      <c r="I66" s="31"/>
    </row>
    <row r="67" spans="1:9" s="10" customFormat="1" ht="30" customHeight="1">
      <c r="A67" s="296"/>
      <c r="B67" s="260" t="s">
        <v>646</v>
      </c>
      <c r="C67" s="261"/>
      <c r="D67" s="262"/>
      <c r="E67" s="263"/>
      <c r="F67" s="263"/>
      <c r="G67" s="297">
        <f>SUM(G65:G66)</f>
        <v>100</v>
      </c>
      <c r="H67" s="265"/>
      <c r="I67" s="31"/>
    </row>
    <row r="68" spans="1:9" ht="30.75" customHeight="1">
      <c r="A68" s="37">
        <v>32</v>
      </c>
      <c r="B68" s="38" t="s">
        <v>142</v>
      </c>
      <c r="C68" s="54" t="s">
        <v>143</v>
      </c>
      <c r="D68" s="40" t="s">
        <v>647</v>
      </c>
      <c r="E68" s="41" t="s">
        <v>145</v>
      </c>
      <c r="F68" s="56">
        <f>G68/4.143</f>
        <v>193.09678976587014</v>
      </c>
      <c r="G68" s="295">
        <v>800</v>
      </c>
      <c r="H68" s="40" t="s">
        <v>63</v>
      </c>
      <c r="I68" s="31"/>
    </row>
    <row r="69" spans="1:9" s="10" customFormat="1" ht="30" customHeight="1">
      <c r="A69" s="296"/>
      <c r="B69" s="260" t="s">
        <v>648</v>
      </c>
      <c r="C69" s="261"/>
      <c r="D69" s="262"/>
      <c r="E69" s="263"/>
      <c r="F69" s="263"/>
      <c r="G69" s="297">
        <f>SUM(G68)</f>
        <v>800</v>
      </c>
      <c r="H69" s="265"/>
      <c r="I69" s="31"/>
    </row>
    <row r="70" spans="1:9" ht="22.5" customHeight="1">
      <c r="A70" s="102"/>
      <c r="B70" s="103" t="s">
        <v>151</v>
      </c>
      <c r="C70" s="103"/>
      <c r="D70" s="103"/>
      <c r="E70" s="103"/>
      <c r="F70" s="103"/>
      <c r="G70" s="303"/>
      <c r="H70" s="105"/>
      <c r="I70" s="141"/>
    </row>
    <row r="71" spans="1:9" ht="22.5" customHeight="1">
      <c r="A71" s="19"/>
      <c r="B71" s="106" t="s">
        <v>152</v>
      </c>
      <c r="C71" s="107"/>
      <c r="D71" s="108" t="s">
        <v>153</v>
      </c>
      <c r="E71" s="109"/>
      <c r="F71" s="109"/>
      <c r="G71" s="304"/>
      <c r="H71" s="8"/>
      <c r="I71" s="141"/>
    </row>
    <row r="72" spans="1:9" ht="22.5" customHeight="1">
      <c r="A72" s="19"/>
      <c r="B72" s="111"/>
      <c r="C72" s="9"/>
      <c r="D72" s="112" t="s">
        <v>154</v>
      </c>
      <c r="E72" s="113" t="s">
        <v>155</v>
      </c>
      <c r="F72" s="114"/>
      <c r="G72" s="304"/>
      <c r="H72" s="8"/>
      <c r="I72" s="141"/>
    </row>
    <row r="73" spans="1:9" ht="22.5" customHeight="1">
      <c r="A73" s="19"/>
      <c r="B73" s="115" t="s">
        <v>156</v>
      </c>
      <c r="C73" s="116"/>
      <c r="D73" s="108" t="s">
        <v>157</v>
      </c>
      <c r="E73" s="109"/>
      <c r="F73" s="109"/>
      <c r="G73" s="304"/>
      <c r="H73" s="8"/>
      <c r="I73" s="141"/>
    </row>
    <row r="74" spans="1:9" ht="22.5" customHeight="1">
      <c r="A74" s="19"/>
      <c r="B74" s="111"/>
      <c r="C74" s="9"/>
      <c r="D74" s="112" t="s">
        <v>154</v>
      </c>
      <c r="E74" s="113"/>
      <c r="F74" s="114"/>
      <c r="G74" s="304"/>
      <c r="H74" s="8"/>
      <c r="I74" s="141"/>
    </row>
    <row r="75" spans="1:9" ht="22.5" customHeight="1">
      <c r="A75" s="19"/>
      <c r="B75" s="115" t="s">
        <v>158</v>
      </c>
      <c r="C75" s="9"/>
      <c r="D75" s="9"/>
      <c r="E75" s="9"/>
      <c r="F75" s="9"/>
      <c r="G75" s="304"/>
      <c r="H75" s="8"/>
      <c r="I75" s="141"/>
    </row>
    <row r="76" spans="1:9" s="2" customFormat="1" ht="30" customHeight="1">
      <c r="A76" s="169"/>
      <c r="B76" s="305" t="s">
        <v>159</v>
      </c>
      <c r="C76" s="116"/>
      <c r="D76" s="306" t="s">
        <v>160</v>
      </c>
      <c r="E76" s="306"/>
      <c r="F76" s="306"/>
      <c r="G76" s="307"/>
      <c r="H76" s="171"/>
      <c r="I76" s="191"/>
    </row>
    <row r="77" spans="1:9" ht="22.5" customHeight="1">
      <c r="A77" s="19"/>
      <c r="B77" s="119" t="s">
        <v>486</v>
      </c>
      <c r="C77" s="119"/>
      <c r="D77" s="119"/>
      <c r="E77" s="9"/>
      <c r="F77" s="9"/>
      <c r="G77" s="304"/>
      <c r="H77" s="8"/>
      <c r="I77" s="141"/>
    </row>
    <row r="78" spans="1:9" ht="68.25" customHeight="1">
      <c r="A78" s="19"/>
      <c r="B78" s="8" t="s">
        <v>0</v>
      </c>
      <c r="C78" s="20"/>
      <c r="D78" s="21"/>
      <c r="E78" s="22"/>
      <c r="F78" s="23" t="s">
        <v>1</v>
      </c>
      <c r="G78" s="23"/>
      <c r="H78" s="21"/>
      <c r="I78" s="70"/>
    </row>
    <row r="79" spans="1:9" ht="45" customHeight="1">
      <c r="A79" s="24" t="s">
        <v>583</v>
      </c>
      <c r="B79" s="24"/>
      <c r="C79" s="24"/>
      <c r="D79" s="24"/>
      <c r="E79" s="24"/>
      <c r="F79" s="24"/>
      <c r="G79" s="24"/>
      <c r="H79" s="24"/>
      <c r="I79" s="24"/>
    </row>
    <row r="80" spans="1:9" s="1" customFormat="1" ht="22.5" customHeight="1">
      <c r="A80" s="25" t="s">
        <v>584</v>
      </c>
      <c r="B80" s="3"/>
      <c r="C80" s="3"/>
      <c r="D80" s="3"/>
      <c r="E80" s="3"/>
      <c r="F80" s="3"/>
      <c r="G80" s="3"/>
      <c r="H80" s="3"/>
      <c r="I80" s="3"/>
    </row>
    <row r="81" spans="1:9" ht="15" customHeight="1">
      <c r="A81" s="17" t="s">
        <v>4</v>
      </c>
      <c r="B81" s="5"/>
      <c r="C81" s="5"/>
      <c r="D81" s="5"/>
      <c r="E81" s="5"/>
      <c r="F81" s="5"/>
      <c r="G81" s="5"/>
      <c r="H81" s="5"/>
      <c r="I81" s="5"/>
    </row>
    <row r="82" ht="15" customHeight="1"/>
    <row r="83" spans="1:11" ht="15.75" customHeight="1">
      <c r="A83" s="83" t="s">
        <v>5</v>
      </c>
      <c r="B83" s="28" t="s">
        <v>6</v>
      </c>
      <c r="C83" s="28" t="s">
        <v>7</v>
      </c>
      <c r="D83" s="63" t="s">
        <v>8</v>
      </c>
      <c r="E83" s="28" t="s">
        <v>9</v>
      </c>
      <c r="F83" s="28" t="s">
        <v>10</v>
      </c>
      <c r="G83" s="63" t="s">
        <v>11</v>
      </c>
      <c r="H83" s="63" t="s">
        <v>12</v>
      </c>
      <c r="I83" s="63" t="s">
        <v>13</v>
      </c>
      <c r="J83" s="71"/>
      <c r="K83" s="71"/>
    </row>
    <row r="84" spans="1:9" ht="31.5" customHeight="1">
      <c r="A84" s="84"/>
      <c r="B84" s="31"/>
      <c r="C84" s="31"/>
      <c r="D84" s="65"/>
      <c r="E84" s="31"/>
      <c r="F84" s="31"/>
      <c r="G84" s="65"/>
      <c r="H84" s="65"/>
      <c r="I84" s="65"/>
    </row>
    <row r="85" spans="1:9" ht="37.5" customHeight="1">
      <c r="A85" s="85"/>
      <c r="B85" s="34"/>
      <c r="C85" s="34"/>
      <c r="D85" s="67"/>
      <c r="E85" s="34"/>
      <c r="F85" s="34"/>
      <c r="G85" s="67"/>
      <c r="H85" s="67"/>
      <c r="I85" s="67"/>
    </row>
    <row r="86" spans="1:13" s="3" customFormat="1" ht="15" customHeight="1">
      <c r="A86" s="32">
        <v>1</v>
      </c>
      <c r="B86" s="33">
        <v>2</v>
      </c>
      <c r="C86" s="34">
        <v>3</v>
      </c>
      <c r="D86" s="67">
        <v>4</v>
      </c>
      <c r="E86" s="34">
        <v>5</v>
      </c>
      <c r="F86" s="34">
        <v>6</v>
      </c>
      <c r="G86" s="67">
        <v>7</v>
      </c>
      <c r="H86" s="67">
        <v>8</v>
      </c>
      <c r="I86" s="76">
        <v>9</v>
      </c>
      <c r="M86" s="3" t="s">
        <v>14</v>
      </c>
    </row>
    <row r="87" spans="1:12" ht="45" customHeight="1">
      <c r="A87" s="37">
        <v>33</v>
      </c>
      <c r="B87" s="38" t="s">
        <v>466</v>
      </c>
      <c r="C87" s="39" t="s">
        <v>204</v>
      </c>
      <c r="D87" s="40" t="s">
        <v>614</v>
      </c>
      <c r="E87" s="41" t="s">
        <v>205</v>
      </c>
      <c r="F87" s="41">
        <v>10.278</v>
      </c>
      <c r="G87" s="295">
        <v>26919.55</v>
      </c>
      <c r="H87" s="40" t="s">
        <v>63</v>
      </c>
      <c r="I87" s="73" t="s">
        <v>253</v>
      </c>
      <c r="L87" s="74">
        <f aca="true" t="shared" si="3" ref="L87:L92">G87-K87</f>
        <v>26919.55</v>
      </c>
    </row>
    <row r="88" spans="1:12" ht="45" customHeight="1">
      <c r="A88" s="37">
        <v>34</v>
      </c>
      <c r="B88" s="38" t="s">
        <v>615</v>
      </c>
      <c r="C88" s="43" t="s">
        <v>204</v>
      </c>
      <c r="D88" s="40" t="s">
        <v>614</v>
      </c>
      <c r="E88" s="41" t="s">
        <v>205</v>
      </c>
      <c r="F88" s="41">
        <v>2.75</v>
      </c>
      <c r="G88" s="295">
        <v>2500</v>
      </c>
      <c r="H88" s="40" t="s">
        <v>63</v>
      </c>
      <c r="I88" s="100"/>
      <c r="L88" s="74">
        <f t="shared" si="3"/>
        <v>2500</v>
      </c>
    </row>
    <row r="89" spans="1:12" ht="45" customHeight="1">
      <c r="A89" s="37">
        <v>35</v>
      </c>
      <c r="B89" s="38" t="s">
        <v>265</v>
      </c>
      <c r="C89" s="43" t="s">
        <v>204</v>
      </c>
      <c r="D89" s="40" t="s">
        <v>614</v>
      </c>
      <c r="E89" s="41" t="s">
        <v>205</v>
      </c>
      <c r="F89" s="41">
        <v>3.973</v>
      </c>
      <c r="G89" s="295">
        <v>1481.93</v>
      </c>
      <c r="H89" s="40" t="s">
        <v>63</v>
      </c>
      <c r="I89" s="100"/>
      <c r="L89" s="74">
        <f t="shared" si="3"/>
        <v>1481.93</v>
      </c>
    </row>
    <row r="90" spans="1:12" ht="30.75" customHeight="1">
      <c r="A90" s="37">
        <v>36</v>
      </c>
      <c r="B90" s="38" t="s">
        <v>208</v>
      </c>
      <c r="C90" s="43" t="s">
        <v>209</v>
      </c>
      <c r="D90" s="40" t="s">
        <v>614</v>
      </c>
      <c r="E90" s="41" t="s">
        <v>210</v>
      </c>
      <c r="F90" s="41">
        <v>11.06</v>
      </c>
      <c r="G90" s="295">
        <v>2098.52</v>
      </c>
      <c r="H90" s="40" t="s">
        <v>63</v>
      </c>
      <c r="I90" s="100"/>
      <c r="L90" s="74">
        <f t="shared" si="3"/>
        <v>2098.52</v>
      </c>
    </row>
    <row r="91" spans="1:12" ht="44.25" customHeight="1">
      <c r="A91" s="37">
        <v>37</v>
      </c>
      <c r="B91" s="38" t="s">
        <v>615</v>
      </c>
      <c r="C91" s="43" t="s">
        <v>204</v>
      </c>
      <c r="D91" s="40" t="s">
        <v>614</v>
      </c>
      <c r="E91" s="41" t="s">
        <v>205</v>
      </c>
      <c r="F91" s="41">
        <v>2.65</v>
      </c>
      <c r="G91" s="295">
        <v>2414</v>
      </c>
      <c r="H91" s="40" t="s">
        <v>19</v>
      </c>
      <c r="I91" s="100"/>
      <c r="L91" s="74">
        <f t="shared" si="3"/>
        <v>2414</v>
      </c>
    </row>
    <row r="92" spans="1:12" ht="44.25" customHeight="1">
      <c r="A92" s="37">
        <v>38</v>
      </c>
      <c r="B92" s="38" t="s">
        <v>466</v>
      </c>
      <c r="C92" s="43" t="s">
        <v>204</v>
      </c>
      <c r="D92" s="40" t="s">
        <v>614</v>
      </c>
      <c r="E92" s="41" t="s">
        <v>205</v>
      </c>
      <c r="F92" s="41">
        <v>8.01</v>
      </c>
      <c r="G92" s="295">
        <v>20986</v>
      </c>
      <c r="H92" s="40" t="s">
        <v>19</v>
      </c>
      <c r="I92" s="100"/>
      <c r="L92" s="74">
        <f t="shared" si="3"/>
        <v>20986</v>
      </c>
    </row>
    <row r="93" spans="1:14" s="10" customFormat="1" ht="30" customHeight="1">
      <c r="A93" s="296"/>
      <c r="B93" s="308" t="s">
        <v>616</v>
      </c>
      <c r="C93" s="261"/>
      <c r="D93" s="262"/>
      <c r="E93" s="263"/>
      <c r="F93" s="263"/>
      <c r="G93" s="297">
        <f>SUM(G87:G92)</f>
        <v>56400</v>
      </c>
      <c r="H93" s="265"/>
      <c r="I93" s="100"/>
      <c r="K93" s="267">
        <f>SUM(K87:K92)</f>
        <v>0</v>
      </c>
      <c r="L93" s="267">
        <f>SUM(L87:L92)</f>
        <v>56400</v>
      </c>
      <c r="N93" s="267"/>
    </row>
    <row r="94" spans="1:12" ht="32.25" customHeight="1">
      <c r="A94" s="37">
        <v>39</v>
      </c>
      <c r="B94" s="38" t="s">
        <v>235</v>
      </c>
      <c r="C94" s="40" t="s">
        <v>116</v>
      </c>
      <c r="D94" s="40" t="s">
        <v>617</v>
      </c>
      <c r="E94" s="41" t="s">
        <v>113</v>
      </c>
      <c r="F94" s="50" t="s">
        <v>117</v>
      </c>
      <c r="G94" s="295">
        <v>1476</v>
      </c>
      <c r="H94" s="40" t="s">
        <v>63</v>
      </c>
      <c r="I94" s="100"/>
      <c r="L94" s="74">
        <f aca="true" t="shared" si="4" ref="L94:L100">G94-K94</f>
        <v>1476</v>
      </c>
    </row>
    <row r="95" spans="1:12" ht="30" customHeight="1">
      <c r="A95" s="37">
        <v>40</v>
      </c>
      <c r="B95" s="38" t="s">
        <v>433</v>
      </c>
      <c r="C95" s="40" t="s">
        <v>234</v>
      </c>
      <c r="D95" s="40" t="s">
        <v>617</v>
      </c>
      <c r="E95" s="41" t="s">
        <v>113</v>
      </c>
      <c r="F95" s="50" t="s">
        <v>117</v>
      </c>
      <c r="G95" s="295">
        <v>780</v>
      </c>
      <c r="H95" s="40" t="s">
        <v>63</v>
      </c>
      <c r="I95" s="100"/>
      <c r="L95" s="74">
        <f t="shared" si="4"/>
        <v>780</v>
      </c>
    </row>
    <row r="96" spans="1:12" ht="30" customHeight="1">
      <c r="A96" s="37">
        <v>41</v>
      </c>
      <c r="B96" s="38" t="s">
        <v>130</v>
      </c>
      <c r="C96" s="40" t="s">
        <v>131</v>
      </c>
      <c r="D96" s="40" t="s">
        <v>617</v>
      </c>
      <c r="E96" s="41" t="s">
        <v>25</v>
      </c>
      <c r="F96" s="41">
        <v>6</v>
      </c>
      <c r="G96" s="295">
        <v>1680</v>
      </c>
      <c r="H96" s="40" t="s">
        <v>63</v>
      </c>
      <c r="I96" s="100"/>
      <c r="L96" s="74">
        <f t="shared" si="4"/>
        <v>1680</v>
      </c>
    </row>
    <row r="97" spans="1:12" ht="30" customHeight="1">
      <c r="A97" s="37">
        <v>42</v>
      </c>
      <c r="B97" s="38" t="s">
        <v>130</v>
      </c>
      <c r="C97" s="40" t="s">
        <v>131</v>
      </c>
      <c r="D97" s="40" t="s">
        <v>617</v>
      </c>
      <c r="E97" s="41" t="s">
        <v>25</v>
      </c>
      <c r="F97" s="41">
        <v>6</v>
      </c>
      <c r="G97" s="295">
        <v>1680</v>
      </c>
      <c r="H97" s="40" t="s">
        <v>19</v>
      </c>
      <c r="I97" s="100"/>
      <c r="L97" s="74">
        <f t="shared" si="4"/>
        <v>1680</v>
      </c>
    </row>
    <row r="98" spans="1:12" ht="30" customHeight="1">
      <c r="A98" s="37">
        <v>43</v>
      </c>
      <c r="B98" s="38" t="s">
        <v>130</v>
      </c>
      <c r="C98" s="40" t="s">
        <v>131</v>
      </c>
      <c r="D98" s="40" t="s">
        <v>617</v>
      </c>
      <c r="E98" s="41" t="s">
        <v>25</v>
      </c>
      <c r="F98" s="41">
        <v>6</v>
      </c>
      <c r="G98" s="295">
        <v>1680</v>
      </c>
      <c r="H98" s="40" t="s">
        <v>132</v>
      </c>
      <c r="I98" s="100"/>
      <c r="L98" s="74">
        <f t="shared" si="4"/>
        <v>1680</v>
      </c>
    </row>
    <row r="99" spans="1:12" ht="30.75" customHeight="1">
      <c r="A99" s="37">
        <v>44</v>
      </c>
      <c r="B99" s="38" t="s">
        <v>236</v>
      </c>
      <c r="C99" s="40" t="s">
        <v>119</v>
      </c>
      <c r="D99" s="40" t="s">
        <v>617</v>
      </c>
      <c r="E99" s="41" t="s">
        <v>120</v>
      </c>
      <c r="F99" s="50" t="s">
        <v>605</v>
      </c>
      <c r="G99" s="295">
        <v>2904</v>
      </c>
      <c r="H99" s="40" t="s">
        <v>63</v>
      </c>
      <c r="I99" s="100"/>
      <c r="L99" s="74">
        <f t="shared" si="4"/>
        <v>2904</v>
      </c>
    </row>
    <row r="100" spans="1:12" ht="64.5" customHeight="1">
      <c r="A100" s="37">
        <v>45</v>
      </c>
      <c r="B100" s="87" t="s">
        <v>618</v>
      </c>
      <c r="C100" s="88" t="s">
        <v>619</v>
      </c>
      <c r="D100" s="40" t="s">
        <v>617</v>
      </c>
      <c r="E100" s="41" t="s">
        <v>113</v>
      </c>
      <c r="F100" s="41" t="s">
        <v>117</v>
      </c>
      <c r="G100" s="295">
        <v>8700</v>
      </c>
      <c r="H100" s="40" t="s">
        <v>63</v>
      </c>
      <c r="I100" s="100"/>
      <c r="L100" s="74">
        <f t="shared" si="4"/>
        <v>8700</v>
      </c>
    </row>
    <row r="101" spans="1:11" s="10" customFormat="1" ht="30" customHeight="1">
      <c r="A101" s="296"/>
      <c r="B101" s="308" t="s">
        <v>620</v>
      </c>
      <c r="C101" s="261"/>
      <c r="D101" s="262"/>
      <c r="E101" s="263"/>
      <c r="F101" s="263"/>
      <c r="G101" s="297">
        <f>SUM(G94:G100)</f>
        <v>18900</v>
      </c>
      <c r="H101" s="265"/>
      <c r="I101" s="100"/>
      <c r="K101" s="10">
        <f>SUM(K94:K100)</f>
        <v>0</v>
      </c>
    </row>
    <row r="102" spans="1:11" ht="29.25" customHeight="1">
      <c r="A102" s="37">
        <v>46</v>
      </c>
      <c r="B102" s="38" t="s">
        <v>137</v>
      </c>
      <c r="C102" s="52" t="s">
        <v>138</v>
      </c>
      <c r="D102" s="40" t="s">
        <v>621</v>
      </c>
      <c r="E102" s="41" t="s">
        <v>140</v>
      </c>
      <c r="F102" s="53">
        <f>G102/67.76</f>
        <v>413.2231404958677</v>
      </c>
      <c r="G102" s="295">
        <v>28000</v>
      </c>
      <c r="H102" s="40" t="s">
        <v>63</v>
      </c>
      <c r="I102" s="100"/>
      <c r="K102" s="12">
        <f>11237.67</f>
        <v>11237.67</v>
      </c>
    </row>
    <row r="103" spans="1:9" s="10" customFormat="1" ht="30" customHeight="1">
      <c r="A103" s="296"/>
      <c r="B103" s="308" t="s">
        <v>622</v>
      </c>
      <c r="C103" s="261"/>
      <c r="D103" s="262"/>
      <c r="E103" s="263"/>
      <c r="F103" s="263"/>
      <c r="G103" s="297">
        <f>SUM(G102)</f>
        <v>28000</v>
      </c>
      <c r="H103" s="265"/>
      <c r="I103" s="100"/>
    </row>
    <row r="104" spans="1:9" ht="31.5" customHeight="1">
      <c r="A104" s="37">
        <v>47</v>
      </c>
      <c r="B104" s="38" t="s">
        <v>485</v>
      </c>
      <c r="C104" s="54" t="s">
        <v>245</v>
      </c>
      <c r="D104" s="40" t="s">
        <v>623</v>
      </c>
      <c r="E104" s="41" t="s">
        <v>110</v>
      </c>
      <c r="F104" s="53">
        <v>7.58</v>
      </c>
      <c r="G104" s="295">
        <v>96.42</v>
      </c>
      <c r="H104" s="40" t="s">
        <v>63</v>
      </c>
      <c r="I104" s="100"/>
    </row>
    <row r="105" spans="1:9" ht="31.5" customHeight="1">
      <c r="A105" s="37">
        <v>48</v>
      </c>
      <c r="B105" s="38" t="s">
        <v>517</v>
      </c>
      <c r="C105" s="55" t="s">
        <v>518</v>
      </c>
      <c r="D105" s="40" t="s">
        <v>623</v>
      </c>
      <c r="E105" s="41" t="s">
        <v>110</v>
      </c>
      <c r="F105" s="53">
        <v>7.58</v>
      </c>
      <c r="G105" s="295">
        <v>103.58</v>
      </c>
      <c r="H105" s="40" t="s">
        <v>63</v>
      </c>
      <c r="I105" s="100"/>
    </row>
    <row r="106" spans="1:9" s="10" customFormat="1" ht="30" customHeight="1">
      <c r="A106" s="296"/>
      <c r="B106" s="308" t="s">
        <v>624</v>
      </c>
      <c r="C106" s="261"/>
      <c r="D106" s="262"/>
      <c r="E106" s="263"/>
      <c r="F106" s="263"/>
      <c r="G106" s="297">
        <f>SUM(G104:G105)</f>
        <v>200</v>
      </c>
      <c r="H106" s="265"/>
      <c r="I106" s="100"/>
    </row>
    <row r="107" spans="1:11" ht="31.5" customHeight="1">
      <c r="A107" s="37">
        <v>49</v>
      </c>
      <c r="B107" s="38" t="s">
        <v>142</v>
      </c>
      <c r="C107" s="54" t="s">
        <v>143</v>
      </c>
      <c r="D107" s="40" t="s">
        <v>625</v>
      </c>
      <c r="E107" s="41" t="s">
        <v>145</v>
      </c>
      <c r="F107" s="56">
        <f>G107/4.143</f>
        <v>1762.008206613565</v>
      </c>
      <c r="G107" s="295">
        <v>7300</v>
      </c>
      <c r="H107" s="40" t="s">
        <v>63</v>
      </c>
      <c r="I107" s="100"/>
      <c r="K107" s="12">
        <f>2796.42+244.97</f>
        <v>3041.39</v>
      </c>
    </row>
    <row r="108" spans="1:9" s="10" customFormat="1" ht="30" customHeight="1">
      <c r="A108" s="296"/>
      <c r="B108" s="308" t="s">
        <v>626</v>
      </c>
      <c r="C108" s="261"/>
      <c r="D108" s="262"/>
      <c r="E108" s="262"/>
      <c r="F108" s="262"/>
      <c r="G108" s="297">
        <f>SUM(G107)</f>
        <v>7300</v>
      </c>
      <c r="H108" s="265"/>
      <c r="I108" s="100"/>
    </row>
    <row r="109" spans="1:9" ht="22.5" customHeight="1">
      <c r="A109" s="102"/>
      <c r="B109" s="103" t="s">
        <v>151</v>
      </c>
      <c r="C109" s="103"/>
      <c r="D109" s="103"/>
      <c r="E109" s="103"/>
      <c r="F109" s="103"/>
      <c r="G109" s="303"/>
      <c r="H109" s="105"/>
      <c r="I109" s="141"/>
    </row>
    <row r="110" spans="1:9" ht="22.5" customHeight="1">
      <c r="A110" s="19"/>
      <c r="B110" s="106" t="s">
        <v>152</v>
      </c>
      <c r="C110" s="107"/>
      <c r="D110" s="108" t="s">
        <v>153</v>
      </c>
      <c r="E110" s="109"/>
      <c r="F110" s="109"/>
      <c r="G110" s="304"/>
      <c r="H110" s="8"/>
      <c r="I110" s="141"/>
    </row>
    <row r="111" spans="1:9" ht="22.5" customHeight="1">
      <c r="A111" s="19"/>
      <c r="B111" s="111"/>
      <c r="C111" s="9"/>
      <c r="D111" s="112" t="s">
        <v>154</v>
      </c>
      <c r="E111" s="113" t="s">
        <v>155</v>
      </c>
      <c r="F111" s="114"/>
      <c r="G111" s="304"/>
      <c r="H111" s="8"/>
      <c r="I111" s="141"/>
    </row>
    <row r="112" spans="1:9" ht="22.5" customHeight="1">
      <c r="A112" s="19"/>
      <c r="B112" s="115" t="s">
        <v>156</v>
      </c>
      <c r="C112" s="116"/>
      <c r="D112" s="108" t="s">
        <v>157</v>
      </c>
      <c r="E112" s="109"/>
      <c r="F112" s="109"/>
      <c r="G112" s="304"/>
      <c r="H112" s="8"/>
      <c r="I112" s="141"/>
    </row>
    <row r="113" spans="1:9" ht="22.5" customHeight="1">
      <c r="A113" s="19"/>
      <c r="B113" s="111"/>
      <c r="C113" s="9"/>
      <c r="D113" s="112" t="s">
        <v>154</v>
      </c>
      <c r="E113" s="113"/>
      <c r="F113" s="114"/>
      <c r="G113" s="304"/>
      <c r="H113" s="8"/>
      <c r="I113" s="141"/>
    </row>
    <row r="114" spans="1:9" ht="22.5" customHeight="1">
      <c r="A114" s="19"/>
      <c r="B114" s="115" t="s">
        <v>158</v>
      </c>
      <c r="C114" s="9"/>
      <c r="D114" s="9"/>
      <c r="E114" s="9"/>
      <c r="F114" s="9"/>
      <c r="G114" s="304"/>
      <c r="H114" s="8"/>
      <c r="I114" s="141"/>
    </row>
    <row r="115" spans="1:9" s="2" customFormat="1" ht="30" customHeight="1">
      <c r="A115" s="169"/>
      <c r="B115" s="305" t="s">
        <v>159</v>
      </c>
      <c r="C115" s="116"/>
      <c r="D115" s="306" t="s">
        <v>160</v>
      </c>
      <c r="E115" s="306"/>
      <c r="F115" s="306"/>
      <c r="G115" s="307"/>
      <c r="H115" s="171"/>
      <c r="I115" s="191"/>
    </row>
    <row r="116" spans="1:9" ht="22.5" customHeight="1">
      <c r="A116" s="19"/>
      <c r="B116" s="119" t="s">
        <v>486</v>
      </c>
      <c r="C116" s="119"/>
      <c r="D116" s="119"/>
      <c r="E116" s="9"/>
      <c r="F116" s="9"/>
      <c r="G116" s="304"/>
      <c r="H116" s="8"/>
      <c r="I116" s="141"/>
    </row>
    <row r="117" spans="1:9" ht="67.5" customHeight="1">
      <c r="A117" s="19"/>
      <c r="B117" s="8" t="s">
        <v>0</v>
      </c>
      <c r="C117" s="20"/>
      <c r="D117" s="21"/>
      <c r="E117" s="22"/>
      <c r="F117" s="23" t="s">
        <v>1</v>
      </c>
      <c r="G117" s="23"/>
      <c r="H117" s="21"/>
      <c r="I117" s="70"/>
    </row>
    <row r="118" spans="1:9" ht="45" customHeight="1">
      <c r="A118" s="24" t="s">
        <v>583</v>
      </c>
      <c r="B118" s="24"/>
      <c r="C118" s="24"/>
      <c r="D118" s="24"/>
      <c r="E118" s="24"/>
      <c r="F118" s="24"/>
      <c r="G118" s="24"/>
      <c r="H118" s="24"/>
      <c r="I118" s="24"/>
    </row>
    <row r="119" spans="1:9" s="1" customFormat="1" ht="22.5" customHeight="1">
      <c r="A119" s="25" t="s">
        <v>584</v>
      </c>
      <c r="B119" s="3"/>
      <c r="C119" s="3"/>
      <c r="D119" s="3"/>
      <c r="E119" s="3"/>
      <c r="F119" s="3"/>
      <c r="G119" s="3"/>
      <c r="H119" s="3"/>
      <c r="I119" s="3"/>
    </row>
    <row r="120" spans="1:9" ht="15" customHeight="1">
      <c r="A120" s="17" t="s">
        <v>4</v>
      </c>
      <c r="B120" s="5"/>
      <c r="C120" s="5"/>
      <c r="D120" s="5"/>
      <c r="E120" s="5"/>
      <c r="F120" s="5"/>
      <c r="G120" s="5"/>
      <c r="H120" s="5"/>
      <c r="I120" s="5"/>
    </row>
    <row r="121" ht="15" customHeight="1"/>
    <row r="122" spans="1:11" ht="15.75" customHeight="1">
      <c r="A122" s="83" t="s">
        <v>5</v>
      </c>
      <c r="B122" s="27" t="s">
        <v>6</v>
      </c>
      <c r="C122" s="28" t="s">
        <v>7</v>
      </c>
      <c r="D122" s="63" t="s">
        <v>8</v>
      </c>
      <c r="E122" s="28" t="s">
        <v>9</v>
      </c>
      <c r="F122" s="90" t="s">
        <v>10</v>
      </c>
      <c r="G122" s="63" t="s">
        <v>11</v>
      </c>
      <c r="H122" s="63" t="s">
        <v>12</v>
      </c>
      <c r="I122" s="63" t="s">
        <v>13</v>
      </c>
      <c r="J122" s="71"/>
      <c r="K122" s="71"/>
    </row>
    <row r="123" spans="1:9" ht="31.5" customHeight="1">
      <c r="A123" s="84"/>
      <c r="B123" s="30"/>
      <c r="C123" s="31"/>
      <c r="D123" s="65"/>
      <c r="E123" s="31"/>
      <c r="F123" s="91"/>
      <c r="G123" s="65"/>
      <c r="H123" s="65"/>
      <c r="I123" s="65"/>
    </row>
    <row r="124" spans="1:9" ht="37.5" customHeight="1">
      <c r="A124" s="85"/>
      <c r="B124" s="33"/>
      <c r="C124" s="34"/>
      <c r="D124" s="67"/>
      <c r="E124" s="34"/>
      <c r="F124" s="92"/>
      <c r="G124" s="67"/>
      <c r="H124" s="67"/>
      <c r="I124" s="67"/>
    </row>
    <row r="125" spans="1:9" ht="14.25" customHeight="1">
      <c r="A125" s="32">
        <v>1</v>
      </c>
      <c r="B125" s="33">
        <v>2</v>
      </c>
      <c r="C125" s="34">
        <v>3</v>
      </c>
      <c r="D125" s="67">
        <v>4</v>
      </c>
      <c r="E125" s="34">
        <v>5</v>
      </c>
      <c r="F125" s="34">
        <v>6</v>
      </c>
      <c r="G125" s="67">
        <v>7</v>
      </c>
      <c r="H125" s="67">
        <v>8</v>
      </c>
      <c r="I125" s="76">
        <v>9</v>
      </c>
    </row>
    <row r="126" spans="1:13" ht="32.25" customHeight="1">
      <c r="A126" s="37">
        <v>50</v>
      </c>
      <c r="B126" s="93" t="s">
        <v>585</v>
      </c>
      <c r="C126" s="39" t="s">
        <v>586</v>
      </c>
      <c r="D126" s="40" t="s">
        <v>587</v>
      </c>
      <c r="E126" s="41" t="s">
        <v>313</v>
      </c>
      <c r="F126" s="41">
        <v>6650</v>
      </c>
      <c r="G126" s="295">
        <v>359100</v>
      </c>
      <c r="H126" s="40" t="s">
        <v>63</v>
      </c>
      <c r="I126" s="73" t="s">
        <v>253</v>
      </c>
      <c r="J126" s="12">
        <f>1340+1920</f>
        <v>3260</v>
      </c>
      <c r="K126" s="12">
        <f>67000+96000</f>
        <v>163000</v>
      </c>
      <c r="L126" s="74">
        <f>F126-J126</f>
        <v>3390</v>
      </c>
      <c r="M126" s="74">
        <f>G126-K126</f>
        <v>196100</v>
      </c>
    </row>
    <row r="127" spans="1:13" ht="32.25" customHeight="1">
      <c r="A127" s="37">
        <v>51</v>
      </c>
      <c r="B127" s="93" t="s">
        <v>588</v>
      </c>
      <c r="C127" s="43" t="s">
        <v>586</v>
      </c>
      <c r="D127" s="40" t="s">
        <v>587</v>
      </c>
      <c r="E127" s="41" t="s">
        <v>313</v>
      </c>
      <c r="F127" s="41">
        <v>1220</v>
      </c>
      <c r="G127" s="295">
        <v>62220</v>
      </c>
      <c r="H127" s="40" t="s">
        <v>63</v>
      </c>
      <c r="I127" s="100"/>
      <c r="J127" s="12">
        <f>1340+1920</f>
        <v>3260</v>
      </c>
      <c r="K127" s="12">
        <f>67000+96000</f>
        <v>163000</v>
      </c>
      <c r="L127" s="74">
        <f>F127-J127</f>
        <v>-2040</v>
      </c>
      <c r="M127" s="74">
        <f>G127-K127</f>
        <v>-100780</v>
      </c>
    </row>
    <row r="128" spans="1:12" ht="29.25" customHeight="1">
      <c r="A128" s="37">
        <v>52</v>
      </c>
      <c r="B128" s="94" t="s">
        <v>23</v>
      </c>
      <c r="C128" s="94" t="s">
        <v>24</v>
      </c>
      <c r="D128" s="40" t="s">
        <v>587</v>
      </c>
      <c r="E128" s="41" t="s">
        <v>25</v>
      </c>
      <c r="F128" s="41">
        <v>1</v>
      </c>
      <c r="G128" s="295">
        <v>174.64</v>
      </c>
      <c r="H128" s="40" t="s">
        <v>19</v>
      </c>
      <c r="I128" s="100"/>
      <c r="L128" s="74"/>
    </row>
    <row r="129" spans="1:12" ht="30" customHeight="1">
      <c r="A129" s="37">
        <v>53</v>
      </c>
      <c r="B129" s="38" t="s">
        <v>589</v>
      </c>
      <c r="C129" s="43" t="s">
        <v>24</v>
      </c>
      <c r="D129" s="40" t="s">
        <v>587</v>
      </c>
      <c r="E129" s="41" t="s">
        <v>25</v>
      </c>
      <c r="F129" s="41">
        <v>5</v>
      </c>
      <c r="G129" s="295">
        <v>828.25</v>
      </c>
      <c r="H129" s="40" t="s">
        <v>19</v>
      </c>
      <c r="I129" s="100"/>
      <c r="J129" s="12">
        <v>6</v>
      </c>
      <c r="K129" s="12">
        <v>355.26</v>
      </c>
      <c r="L129" s="74">
        <f>G129-K129</f>
        <v>472.99</v>
      </c>
    </row>
    <row r="130" spans="1:12" ht="30" customHeight="1">
      <c r="A130" s="37">
        <v>54</v>
      </c>
      <c r="B130" s="38" t="s">
        <v>590</v>
      </c>
      <c r="C130" s="40" t="s">
        <v>573</v>
      </c>
      <c r="D130" s="40" t="s">
        <v>587</v>
      </c>
      <c r="E130" s="41" t="s">
        <v>25</v>
      </c>
      <c r="F130" s="41">
        <v>10</v>
      </c>
      <c r="G130" s="295">
        <v>174.6</v>
      </c>
      <c r="H130" s="40" t="s">
        <v>19</v>
      </c>
      <c r="I130" s="100"/>
      <c r="J130" s="12">
        <v>10</v>
      </c>
      <c r="K130" s="12">
        <v>229.3</v>
      </c>
      <c r="L130" s="74">
        <f>G130-K130</f>
        <v>-54.70000000000002</v>
      </c>
    </row>
    <row r="131" spans="1:12" ht="30" customHeight="1">
      <c r="A131" s="37">
        <v>55</v>
      </c>
      <c r="B131" s="38" t="s">
        <v>591</v>
      </c>
      <c r="C131" s="40" t="s">
        <v>592</v>
      </c>
      <c r="D131" s="40" t="s">
        <v>587</v>
      </c>
      <c r="E131" s="41" t="s">
        <v>25</v>
      </c>
      <c r="F131" s="41">
        <v>1</v>
      </c>
      <c r="G131" s="295">
        <v>140</v>
      </c>
      <c r="H131" s="40" t="s">
        <v>63</v>
      </c>
      <c r="I131" s="100"/>
      <c r="J131" s="12">
        <v>10</v>
      </c>
      <c r="K131" s="12">
        <v>229.3</v>
      </c>
      <c r="L131" s="74">
        <f>G131-K131</f>
        <v>-89.30000000000001</v>
      </c>
    </row>
    <row r="132" spans="1:12" ht="30" customHeight="1">
      <c r="A132" s="37">
        <v>56</v>
      </c>
      <c r="B132" s="38" t="s">
        <v>15</v>
      </c>
      <c r="C132" s="43" t="s">
        <v>16</v>
      </c>
      <c r="D132" s="40" t="s">
        <v>587</v>
      </c>
      <c r="E132" s="41" t="s">
        <v>18</v>
      </c>
      <c r="F132" s="41">
        <v>5</v>
      </c>
      <c r="G132" s="295">
        <v>1050</v>
      </c>
      <c r="H132" s="40" t="s">
        <v>19</v>
      </c>
      <c r="I132" s="100"/>
      <c r="J132" s="12">
        <v>6</v>
      </c>
      <c r="K132" s="12">
        <v>355.26</v>
      </c>
      <c r="L132" s="74">
        <f>G132-K132</f>
        <v>694.74</v>
      </c>
    </row>
    <row r="133" spans="1:12" ht="30" customHeight="1">
      <c r="A133" s="37">
        <v>57</v>
      </c>
      <c r="B133" s="38" t="s">
        <v>569</v>
      </c>
      <c r="C133" s="40" t="s">
        <v>36</v>
      </c>
      <c r="D133" s="40" t="s">
        <v>587</v>
      </c>
      <c r="E133" s="41" t="s">
        <v>25</v>
      </c>
      <c r="F133" s="41">
        <v>1</v>
      </c>
      <c r="G133" s="295">
        <v>192.63</v>
      </c>
      <c r="H133" s="40" t="s">
        <v>19</v>
      </c>
      <c r="I133" s="100"/>
      <c r="L133" s="74"/>
    </row>
    <row r="134" spans="1:12" ht="30" customHeight="1">
      <c r="A134" s="37">
        <v>58</v>
      </c>
      <c r="B134" s="95" t="s">
        <v>593</v>
      </c>
      <c r="C134" s="43" t="s">
        <v>594</v>
      </c>
      <c r="D134" s="40" t="s">
        <v>587</v>
      </c>
      <c r="E134" s="41" t="s">
        <v>25</v>
      </c>
      <c r="F134" s="41">
        <v>1</v>
      </c>
      <c r="G134" s="295">
        <v>311</v>
      </c>
      <c r="H134" s="40" t="s">
        <v>19</v>
      </c>
      <c r="I134" s="100"/>
      <c r="L134" s="74"/>
    </row>
    <row r="135" spans="1:12" ht="30" customHeight="1">
      <c r="A135" s="37">
        <v>59</v>
      </c>
      <c r="B135" s="38" t="s">
        <v>595</v>
      </c>
      <c r="C135" s="96" t="s">
        <v>52</v>
      </c>
      <c r="D135" s="40" t="s">
        <v>587</v>
      </c>
      <c r="E135" s="41" t="s">
        <v>25</v>
      </c>
      <c r="F135" s="41">
        <v>8</v>
      </c>
      <c r="G135" s="295">
        <v>148.88</v>
      </c>
      <c r="H135" s="40" t="s">
        <v>19</v>
      </c>
      <c r="I135" s="100"/>
      <c r="L135" s="74"/>
    </row>
    <row r="136" spans="1:12" ht="30" customHeight="1">
      <c r="A136" s="37">
        <v>60</v>
      </c>
      <c r="B136" s="95" t="s">
        <v>596</v>
      </c>
      <c r="C136" s="43" t="s">
        <v>597</v>
      </c>
      <c r="D136" s="40" t="s">
        <v>587</v>
      </c>
      <c r="E136" s="41" t="s">
        <v>25</v>
      </c>
      <c r="F136" s="41">
        <v>2</v>
      </c>
      <c r="G136" s="295">
        <v>5000</v>
      </c>
      <c r="H136" s="40" t="s">
        <v>63</v>
      </c>
      <c r="I136" s="100"/>
      <c r="L136" s="74"/>
    </row>
    <row r="137" spans="1:12" ht="29.25" customHeight="1">
      <c r="A137" s="37">
        <v>61</v>
      </c>
      <c r="B137" s="95" t="s">
        <v>598</v>
      </c>
      <c r="C137" s="43" t="s">
        <v>597</v>
      </c>
      <c r="D137" s="40" t="s">
        <v>587</v>
      </c>
      <c r="E137" s="41" t="s">
        <v>25</v>
      </c>
      <c r="F137" s="41">
        <v>2</v>
      </c>
      <c r="G137" s="295">
        <v>7110</v>
      </c>
      <c r="H137" s="40" t="s">
        <v>63</v>
      </c>
      <c r="I137" s="100"/>
      <c r="L137" s="74"/>
    </row>
    <row r="138" spans="1:12" ht="29.25" customHeight="1">
      <c r="A138" s="37">
        <v>62</v>
      </c>
      <c r="B138" s="94" t="s">
        <v>599</v>
      </c>
      <c r="C138" s="94" t="s">
        <v>24</v>
      </c>
      <c r="D138" s="40" t="s">
        <v>587</v>
      </c>
      <c r="E138" s="41" t="s">
        <v>25</v>
      </c>
      <c r="F138" s="41">
        <v>4</v>
      </c>
      <c r="G138" s="295">
        <v>2400</v>
      </c>
      <c r="H138" s="40" t="s">
        <v>63</v>
      </c>
      <c r="I138" s="100"/>
      <c r="L138" s="74"/>
    </row>
    <row r="139" spans="1:12" ht="29.25" customHeight="1">
      <c r="A139" s="37">
        <v>63</v>
      </c>
      <c r="B139" s="95" t="s">
        <v>600</v>
      </c>
      <c r="C139" s="43" t="s">
        <v>597</v>
      </c>
      <c r="D139" s="40" t="s">
        <v>587</v>
      </c>
      <c r="E139" s="41" t="s">
        <v>601</v>
      </c>
      <c r="F139" s="41">
        <v>1</v>
      </c>
      <c r="G139" s="295">
        <v>1000</v>
      </c>
      <c r="H139" s="40" t="s">
        <v>63</v>
      </c>
      <c r="I139" s="100"/>
      <c r="L139" s="74"/>
    </row>
    <row r="140" spans="1:12" ht="29.25" customHeight="1">
      <c r="A140" s="37">
        <v>64</v>
      </c>
      <c r="B140" s="95" t="s">
        <v>602</v>
      </c>
      <c r="C140" s="43" t="s">
        <v>597</v>
      </c>
      <c r="D140" s="40" t="s">
        <v>587</v>
      </c>
      <c r="E140" s="41" t="s">
        <v>25</v>
      </c>
      <c r="F140" s="41">
        <v>1</v>
      </c>
      <c r="G140" s="295">
        <v>1850</v>
      </c>
      <c r="H140" s="40" t="s">
        <v>63</v>
      </c>
      <c r="I140" s="100"/>
      <c r="L140" s="74"/>
    </row>
    <row r="141" spans="1:12" ht="29.25" customHeight="1">
      <c r="A141" s="37">
        <v>65</v>
      </c>
      <c r="B141" s="97" t="s">
        <v>506</v>
      </c>
      <c r="C141" s="43" t="s">
        <v>204</v>
      </c>
      <c r="D141" s="40" t="s">
        <v>587</v>
      </c>
      <c r="E141" s="41" t="s">
        <v>205</v>
      </c>
      <c r="F141" s="41">
        <v>28.91</v>
      </c>
      <c r="G141" s="295">
        <v>10700</v>
      </c>
      <c r="H141" s="40" t="s">
        <v>132</v>
      </c>
      <c r="I141" s="100"/>
      <c r="L141" s="74"/>
    </row>
    <row r="142" spans="1:14" s="10" customFormat="1" ht="29.25" customHeight="1">
      <c r="A142" s="296"/>
      <c r="B142" s="308" t="s">
        <v>603</v>
      </c>
      <c r="C142" s="261"/>
      <c r="D142" s="262"/>
      <c r="E142" s="262"/>
      <c r="F142" s="262"/>
      <c r="G142" s="297">
        <f>SUM(G126:G141)</f>
        <v>452400</v>
      </c>
      <c r="H142" s="265"/>
      <c r="I142" s="100"/>
      <c r="K142" s="267">
        <f>SUM(K126:K141)</f>
        <v>327169.12</v>
      </c>
      <c r="L142" s="267">
        <f>SUM(L126:L141)</f>
        <v>2373.73</v>
      </c>
      <c r="N142" s="267">
        <f>K142-M142</f>
        <v>327169.12</v>
      </c>
    </row>
    <row r="143" spans="1:12" ht="45" customHeight="1">
      <c r="A143" s="37">
        <v>66</v>
      </c>
      <c r="B143" s="38" t="s">
        <v>236</v>
      </c>
      <c r="C143" s="40" t="s">
        <v>119</v>
      </c>
      <c r="D143" s="40" t="s">
        <v>604</v>
      </c>
      <c r="E143" s="41" t="s">
        <v>120</v>
      </c>
      <c r="F143" s="50" t="s">
        <v>605</v>
      </c>
      <c r="G143" s="295">
        <v>1410</v>
      </c>
      <c r="H143" s="40" t="s">
        <v>63</v>
      </c>
      <c r="I143" s="100"/>
      <c r="L143" s="74">
        <f>G143-K143</f>
        <v>1410</v>
      </c>
    </row>
    <row r="144" spans="1:12" ht="30" customHeight="1">
      <c r="A144" s="37">
        <v>67</v>
      </c>
      <c r="B144" s="98" t="s">
        <v>606</v>
      </c>
      <c r="C144" s="99" t="s">
        <v>532</v>
      </c>
      <c r="D144" s="40" t="s">
        <v>604</v>
      </c>
      <c r="E144" s="41" t="s">
        <v>113</v>
      </c>
      <c r="F144" s="41">
        <v>7</v>
      </c>
      <c r="G144" s="295">
        <v>3430</v>
      </c>
      <c r="H144" s="40" t="s">
        <v>63</v>
      </c>
      <c r="I144" s="100"/>
      <c r="L144" s="74">
        <f>G144-K144</f>
        <v>3430</v>
      </c>
    </row>
    <row r="145" spans="1:12" ht="30" customHeight="1">
      <c r="A145" s="37">
        <v>68</v>
      </c>
      <c r="B145" s="38" t="s">
        <v>130</v>
      </c>
      <c r="C145" s="40" t="s">
        <v>131</v>
      </c>
      <c r="D145" s="40" t="s">
        <v>604</v>
      </c>
      <c r="E145" s="41" t="s">
        <v>25</v>
      </c>
      <c r="F145" s="50">
        <v>2</v>
      </c>
      <c r="G145" s="295">
        <v>700</v>
      </c>
      <c r="H145" s="40" t="s">
        <v>63</v>
      </c>
      <c r="I145" s="100"/>
      <c r="L145" s="74">
        <f>G145-K145</f>
        <v>700</v>
      </c>
    </row>
    <row r="146" spans="1:12" ht="30" customHeight="1">
      <c r="A146" s="37">
        <v>69</v>
      </c>
      <c r="B146" s="38" t="s">
        <v>130</v>
      </c>
      <c r="C146" s="40" t="s">
        <v>131</v>
      </c>
      <c r="D146" s="40" t="s">
        <v>604</v>
      </c>
      <c r="E146" s="41" t="s">
        <v>25</v>
      </c>
      <c r="F146" s="50">
        <v>1</v>
      </c>
      <c r="G146" s="295">
        <v>280</v>
      </c>
      <c r="H146" s="40" t="s">
        <v>19</v>
      </c>
      <c r="I146" s="100"/>
      <c r="L146" s="74">
        <f>G146-K146</f>
        <v>280</v>
      </c>
    </row>
    <row r="147" spans="1:12" ht="30" customHeight="1">
      <c r="A147" s="37">
        <v>70</v>
      </c>
      <c r="B147" s="38" t="s">
        <v>130</v>
      </c>
      <c r="C147" s="40" t="s">
        <v>131</v>
      </c>
      <c r="D147" s="40" t="s">
        <v>604</v>
      </c>
      <c r="E147" s="41" t="s">
        <v>25</v>
      </c>
      <c r="F147" s="50">
        <v>1</v>
      </c>
      <c r="G147" s="295">
        <v>280</v>
      </c>
      <c r="H147" s="40" t="s">
        <v>132</v>
      </c>
      <c r="I147" s="100"/>
      <c r="L147" s="74">
        <f>G147-K147</f>
        <v>280</v>
      </c>
    </row>
    <row r="148" spans="1:9" s="10" customFormat="1" ht="29.25" customHeight="1">
      <c r="A148" s="296"/>
      <c r="B148" s="260" t="s">
        <v>607</v>
      </c>
      <c r="C148" s="261"/>
      <c r="D148" s="262"/>
      <c r="E148" s="263"/>
      <c r="F148" s="263"/>
      <c r="G148" s="297">
        <f>SUM(G143:G147)</f>
        <v>6100</v>
      </c>
      <c r="H148" s="265"/>
      <c r="I148" s="100"/>
    </row>
    <row r="149" spans="1:11" ht="30" customHeight="1">
      <c r="A149" s="37">
        <v>71</v>
      </c>
      <c r="B149" s="38" t="s">
        <v>137</v>
      </c>
      <c r="C149" s="52" t="s">
        <v>138</v>
      </c>
      <c r="D149" s="40" t="s">
        <v>608</v>
      </c>
      <c r="E149" s="41" t="s">
        <v>140</v>
      </c>
      <c r="F149" s="53">
        <f>G149/67.76</f>
        <v>57.556080283353005</v>
      </c>
      <c r="G149" s="295">
        <v>3900</v>
      </c>
      <c r="H149" s="40" t="s">
        <v>63</v>
      </c>
      <c r="I149" s="100"/>
      <c r="K149" s="12">
        <f>2300</f>
        <v>2300</v>
      </c>
    </row>
    <row r="150" spans="1:9" s="10" customFormat="1" ht="30" customHeight="1">
      <c r="A150" s="296"/>
      <c r="B150" s="260" t="s">
        <v>609</v>
      </c>
      <c r="C150" s="261"/>
      <c r="D150" s="262"/>
      <c r="E150" s="263"/>
      <c r="F150" s="263"/>
      <c r="G150" s="297">
        <f>SUM(G149)</f>
        <v>3900</v>
      </c>
      <c r="H150" s="265"/>
      <c r="I150" s="100"/>
    </row>
    <row r="151" spans="1:9" ht="30.75" customHeight="1">
      <c r="A151" s="37">
        <v>72</v>
      </c>
      <c r="B151" s="38" t="s">
        <v>485</v>
      </c>
      <c r="C151" s="54" t="s">
        <v>245</v>
      </c>
      <c r="D151" s="40" t="s">
        <v>610</v>
      </c>
      <c r="E151" s="41" t="s">
        <v>110</v>
      </c>
      <c r="F151" s="41">
        <v>3.79</v>
      </c>
      <c r="G151" s="295">
        <v>48.3</v>
      </c>
      <c r="H151" s="40" t="s">
        <v>63</v>
      </c>
      <c r="I151" s="100"/>
    </row>
    <row r="152" spans="1:9" ht="30" customHeight="1">
      <c r="A152" s="37">
        <v>73</v>
      </c>
      <c r="B152" s="38" t="s">
        <v>517</v>
      </c>
      <c r="C152" s="55" t="s">
        <v>518</v>
      </c>
      <c r="D152" s="40" t="s">
        <v>610</v>
      </c>
      <c r="E152" s="41" t="s">
        <v>110</v>
      </c>
      <c r="F152" s="41">
        <v>3.79</v>
      </c>
      <c r="G152" s="295">
        <v>51.7</v>
      </c>
      <c r="H152" s="40" t="s">
        <v>63</v>
      </c>
      <c r="I152" s="100"/>
    </row>
    <row r="153" spans="1:9" s="10" customFormat="1" ht="29.25" customHeight="1">
      <c r="A153" s="296"/>
      <c r="B153" s="260" t="s">
        <v>611</v>
      </c>
      <c r="C153" s="261"/>
      <c r="D153" s="262"/>
      <c r="E153" s="263"/>
      <c r="F153" s="263"/>
      <c r="G153" s="297">
        <f>SUM(G151:G152)</f>
        <v>100</v>
      </c>
      <c r="H153" s="265"/>
      <c r="I153" s="100"/>
    </row>
    <row r="154" spans="1:10" ht="30" customHeight="1">
      <c r="A154" s="37">
        <v>74</v>
      </c>
      <c r="B154" s="38" t="s">
        <v>142</v>
      </c>
      <c r="C154" s="54" t="s">
        <v>143</v>
      </c>
      <c r="D154" s="40" t="s">
        <v>612</v>
      </c>
      <c r="E154" s="41" t="s">
        <v>145</v>
      </c>
      <c r="F154" s="56">
        <f>G154/4.143</f>
        <v>289.64518464880524</v>
      </c>
      <c r="G154" s="295">
        <v>1200</v>
      </c>
      <c r="H154" s="40" t="s">
        <v>63</v>
      </c>
      <c r="I154" s="100"/>
      <c r="J154" s="12">
        <f>500</f>
        <v>500</v>
      </c>
    </row>
    <row r="155" spans="1:9" s="10" customFormat="1" ht="29.25" customHeight="1">
      <c r="A155" s="296"/>
      <c r="B155" s="260" t="s">
        <v>613</v>
      </c>
      <c r="C155" s="261"/>
      <c r="D155" s="262"/>
      <c r="E155" s="262"/>
      <c r="F155" s="262"/>
      <c r="G155" s="297">
        <f>SUM(G154)</f>
        <v>1200</v>
      </c>
      <c r="H155" s="265"/>
      <c r="I155" s="100"/>
    </row>
    <row r="156" spans="1:9" ht="22.5" customHeight="1">
      <c r="A156" s="102"/>
      <c r="B156" s="103" t="s">
        <v>151</v>
      </c>
      <c r="C156" s="103"/>
      <c r="D156" s="103"/>
      <c r="E156" s="103"/>
      <c r="F156" s="103"/>
      <c r="G156" s="303"/>
      <c r="H156" s="105"/>
      <c r="I156" s="141"/>
    </row>
    <row r="157" spans="1:9" ht="22.5" customHeight="1">
      <c r="A157" s="19"/>
      <c r="B157" s="106" t="s">
        <v>152</v>
      </c>
      <c r="C157" s="107"/>
      <c r="D157" s="108" t="s">
        <v>153</v>
      </c>
      <c r="E157" s="109"/>
      <c r="F157" s="109"/>
      <c r="G157" s="304"/>
      <c r="H157" s="8"/>
      <c r="I157" s="141"/>
    </row>
    <row r="158" spans="1:9" ht="22.5" customHeight="1">
      <c r="A158" s="19"/>
      <c r="B158" s="111"/>
      <c r="C158" s="9"/>
      <c r="D158" s="112" t="s">
        <v>154</v>
      </c>
      <c r="E158" s="113" t="s">
        <v>155</v>
      </c>
      <c r="F158" s="114"/>
      <c r="G158" s="304"/>
      <c r="H158" s="8"/>
      <c r="I158" s="141"/>
    </row>
    <row r="159" spans="1:9" ht="22.5" customHeight="1">
      <c r="A159" s="19"/>
      <c r="B159" s="115" t="s">
        <v>156</v>
      </c>
      <c r="C159" s="116"/>
      <c r="D159" s="108" t="s">
        <v>157</v>
      </c>
      <c r="E159" s="109"/>
      <c r="F159" s="109"/>
      <c r="G159" s="304"/>
      <c r="H159" s="8"/>
      <c r="I159" s="141"/>
    </row>
    <row r="160" spans="1:9" ht="22.5" customHeight="1">
      <c r="A160" s="19"/>
      <c r="B160" s="111"/>
      <c r="C160" s="9"/>
      <c r="D160" s="112" t="s">
        <v>154</v>
      </c>
      <c r="E160" s="113"/>
      <c r="F160" s="114"/>
      <c r="G160" s="304"/>
      <c r="H160" s="8"/>
      <c r="I160" s="141"/>
    </row>
    <row r="161" spans="1:9" ht="22.5" customHeight="1">
      <c r="A161" s="19"/>
      <c r="B161" s="115" t="s">
        <v>158</v>
      </c>
      <c r="C161" s="9"/>
      <c r="D161" s="9"/>
      <c r="E161" s="9"/>
      <c r="F161" s="9"/>
      <c r="G161" s="304"/>
      <c r="H161" s="8"/>
      <c r="I161" s="141"/>
    </row>
    <row r="162" spans="1:9" s="2" customFormat="1" ht="30" customHeight="1">
      <c r="A162" s="169"/>
      <c r="B162" s="305" t="s">
        <v>159</v>
      </c>
      <c r="C162" s="116"/>
      <c r="D162" s="306" t="s">
        <v>160</v>
      </c>
      <c r="E162" s="306"/>
      <c r="F162" s="306"/>
      <c r="G162" s="307"/>
      <c r="H162" s="171"/>
      <c r="I162" s="191"/>
    </row>
    <row r="163" spans="1:9" ht="22.5" customHeight="1">
      <c r="A163" s="19"/>
      <c r="B163" s="119" t="s">
        <v>486</v>
      </c>
      <c r="C163" s="119"/>
      <c r="D163" s="119"/>
      <c r="E163" s="9"/>
      <c r="F163" s="9"/>
      <c r="G163" s="304"/>
      <c r="H163" s="8"/>
      <c r="I163" s="141"/>
    </row>
    <row r="164" spans="1:9" ht="67.5" customHeight="1">
      <c r="A164" s="19"/>
      <c r="B164" s="8" t="s">
        <v>0</v>
      </c>
      <c r="C164" s="20"/>
      <c r="D164" s="21"/>
      <c r="E164" s="22"/>
      <c r="F164" s="23" t="s">
        <v>1</v>
      </c>
      <c r="G164" s="23"/>
      <c r="H164" s="21"/>
      <c r="I164" s="70"/>
    </row>
    <row r="165" spans="1:9" ht="45" customHeight="1">
      <c r="A165" s="24" t="s">
        <v>556</v>
      </c>
      <c r="B165" s="24"/>
      <c r="C165" s="24"/>
      <c r="D165" s="24"/>
      <c r="E165" s="24"/>
      <c r="F165" s="24"/>
      <c r="G165" s="24"/>
      <c r="H165" s="24"/>
      <c r="I165" s="24"/>
    </row>
    <row r="166" spans="3:9" ht="15" customHeight="1">
      <c r="C166" s="124"/>
      <c r="D166" s="125" t="s">
        <v>4</v>
      </c>
      <c r="E166" s="124"/>
      <c r="F166" s="124"/>
      <c r="G166" s="3"/>
      <c r="H166" s="16"/>
      <c r="I166" s="16"/>
    </row>
    <row r="167" ht="15" customHeight="1"/>
    <row r="168" spans="1:11" ht="15.75" customHeight="1">
      <c r="A168" s="83" t="s">
        <v>5</v>
      </c>
      <c r="B168" s="27" t="s">
        <v>6</v>
      </c>
      <c r="C168" s="28" t="s">
        <v>7</v>
      </c>
      <c r="D168" s="28" t="s">
        <v>249</v>
      </c>
      <c r="E168" s="28" t="s">
        <v>9</v>
      </c>
      <c r="F168" s="28" t="s">
        <v>10</v>
      </c>
      <c r="G168" s="28" t="s">
        <v>250</v>
      </c>
      <c r="H168" s="28" t="s">
        <v>251</v>
      </c>
      <c r="I168" s="28" t="s">
        <v>13</v>
      </c>
      <c r="J168" s="71"/>
      <c r="K168" s="71"/>
    </row>
    <row r="169" spans="1:9" ht="31.5" customHeight="1">
      <c r="A169" s="84"/>
      <c r="B169" s="30"/>
      <c r="C169" s="31"/>
      <c r="D169" s="31"/>
      <c r="E169" s="31"/>
      <c r="F169" s="31"/>
      <c r="G169" s="31"/>
      <c r="H169" s="31"/>
      <c r="I169" s="31"/>
    </row>
    <row r="170" spans="1:9" ht="37.5" customHeight="1">
      <c r="A170" s="85"/>
      <c r="B170" s="33"/>
      <c r="C170" s="34"/>
      <c r="D170" s="34"/>
      <c r="E170" s="34"/>
      <c r="F170" s="34"/>
      <c r="G170" s="34"/>
      <c r="H170" s="34"/>
      <c r="I170" s="34"/>
    </row>
    <row r="171" spans="1:9" ht="15" customHeight="1">
      <c r="A171" s="32">
        <v>1</v>
      </c>
      <c r="B171" s="33">
        <v>2</v>
      </c>
      <c r="C171" s="34">
        <v>3</v>
      </c>
      <c r="D171" s="34">
        <v>4</v>
      </c>
      <c r="E171" s="34">
        <v>5</v>
      </c>
      <c r="F171" s="34">
        <v>6</v>
      </c>
      <c r="G171" s="34">
        <v>7</v>
      </c>
      <c r="H171" s="34">
        <v>8</v>
      </c>
      <c r="I171" s="72">
        <v>9</v>
      </c>
    </row>
    <row r="172" spans="1:9" ht="30" customHeight="1">
      <c r="A172" s="37">
        <v>75</v>
      </c>
      <c r="B172" s="131" t="s">
        <v>442</v>
      </c>
      <c r="C172" s="72" t="s">
        <v>16</v>
      </c>
      <c r="D172" s="39" t="s">
        <v>537</v>
      </c>
      <c r="E172" s="72" t="s">
        <v>25</v>
      </c>
      <c r="F172" s="72">
        <v>30</v>
      </c>
      <c r="G172" s="132">
        <v>606.9</v>
      </c>
      <c r="H172" s="133" t="s">
        <v>63</v>
      </c>
      <c r="I172" s="73" t="s">
        <v>253</v>
      </c>
    </row>
    <row r="173" spans="1:9" ht="30" customHeight="1">
      <c r="A173" s="32">
        <v>76</v>
      </c>
      <c r="B173" s="134" t="s">
        <v>557</v>
      </c>
      <c r="C173" s="34" t="s">
        <v>171</v>
      </c>
      <c r="D173" s="43" t="s">
        <v>537</v>
      </c>
      <c r="E173" s="34" t="s">
        <v>25</v>
      </c>
      <c r="F173" s="34">
        <v>14</v>
      </c>
      <c r="G173" s="135">
        <v>266.28</v>
      </c>
      <c r="H173" s="136" t="s">
        <v>63</v>
      </c>
      <c r="I173" s="100"/>
    </row>
    <row r="174" spans="1:13" ht="31.5" customHeight="1">
      <c r="A174" s="37">
        <v>77</v>
      </c>
      <c r="B174" s="38" t="s">
        <v>558</v>
      </c>
      <c r="C174" s="40" t="s">
        <v>27</v>
      </c>
      <c r="D174" s="40" t="s">
        <v>537</v>
      </c>
      <c r="E174" s="41" t="s">
        <v>25</v>
      </c>
      <c r="F174" s="41">
        <v>15</v>
      </c>
      <c r="G174" s="295">
        <v>890.25</v>
      </c>
      <c r="H174" s="136" t="s">
        <v>63</v>
      </c>
      <c r="I174" s="100"/>
      <c r="L174" s="74"/>
      <c r="M174" s="74">
        <f>G174-K174</f>
        <v>890.25</v>
      </c>
    </row>
    <row r="175" spans="1:12" ht="30" customHeight="1">
      <c r="A175" s="37">
        <v>78</v>
      </c>
      <c r="B175" s="99" t="s">
        <v>661</v>
      </c>
      <c r="C175" s="137" t="s">
        <v>544</v>
      </c>
      <c r="D175" s="40" t="s">
        <v>537</v>
      </c>
      <c r="E175" s="138" t="s">
        <v>18</v>
      </c>
      <c r="F175" s="138">
        <v>6</v>
      </c>
      <c r="G175" s="272">
        <v>3024</v>
      </c>
      <c r="H175" s="136" t="s">
        <v>63</v>
      </c>
      <c r="I175" s="100"/>
      <c r="L175" s="74"/>
    </row>
    <row r="176" spans="1:12" ht="30" customHeight="1">
      <c r="A176" s="37">
        <v>79</v>
      </c>
      <c r="B176" s="38" t="s">
        <v>560</v>
      </c>
      <c r="C176" s="43" t="s">
        <v>179</v>
      </c>
      <c r="D176" s="40" t="s">
        <v>537</v>
      </c>
      <c r="E176" s="41" t="s">
        <v>25</v>
      </c>
      <c r="F176" s="41">
        <v>20</v>
      </c>
      <c r="G176" s="295">
        <v>310.4</v>
      </c>
      <c r="H176" s="136" t="s">
        <v>63</v>
      </c>
      <c r="I176" s="100"/>
      <c r="L176" s="74"/>
    </row>
    <row r="177" spans="1:12" ht="60" customHeight="1">
      <c r="A177" s="37">
        <v>80</v>
      </c>
      <c r="B177" s="140" t="s">
        <v>561</v>
      </c>
      <c r="C177" s="43" t="s">
        <v>47</v>
      </c>
      <c r="D177" s="40" t="s">
        <v>537</v>
      </c>
      <c r="E177" s="41" t="s">
        <v>48</v>
      </c>
      <c r="F177" s="41">
        <v>9</v>
      </c>
      <c r="G177" s="295">
        <v>495</v>
      </c>
      <c r="H177" s="136" t="s">
        <v>63</v>
      </c>
      <c r="I177" s="100"/>
      <c r="L177" s="74">
        <f>G177-K177</f>
        <v>495</v>
      </c>
    </row>
    <row r="178" spans="1:9" s="5" customFormat="1" ht="30" customHeight="1">
      <c r="A178" s="37">
        <v>81</v>
      </c>
      <c r="B178" s="38" t="s">
        <v>562</v>
      </c>
      <c r="C178" s="40" t="s">
        <v>16</v>
      </c>
      <c r="D178" s="40" t="s">
        <v>537</v>
      </c>
      <c r="E178" s="41" t="s">
        <v>25</v>
      </c>
      <c r="F178" s="56">
        <v>200</v>
      </c>
      <c r="G178" s="42">
        <v>3000</v>
      </c>
      <c r="H178" s="136" t="s">
        <v>63</v>
      </c>
      <c r="I178" s="100"/>
    </row>
    <row r="179" spans="1:9" s="5" customFormat="1" ht="30" customHeight="1">
      <c r="A179" s="37">
        <v>82</v>
      </c>
      <c r="B179" s="38" t="s">
        <v>563</v>
      </c>
      <c r="C179" s="40" t="s">
        <v>16</v>
      </c>
      <c r="D179" s="40" t="s">
        <v>537</v>
      </c>
      <c r="E179" s="41" t="s">
        <v>18</v>
      </c>
      <c r="F179" s="56">
        <v>13</v>
      </c>
      <c r="G179" s="42">
        <v>2730</v>
      </c>
      <c r="H179" s="136" t="s">
        <v>63</v>
      </c>
      <c r="I179" s="100"/>
    </row>
    <row r="180" spans="1:9" s="5" customFormat="1" ht="30" customHeight="1">
      <c r="A180" s="37">
        <v>83</v>
      </c>
      <c r="B180" s="38" t="s">
        <v>564</v>
      </c>
      <c r="C180" s="40" t="s">
        <v>565</v>
      </c>
      <c r="D180" s="40" t="s">
        <v>537</v>
      </c>
      <c r="E180" s="41" t="s">
        <v>25</v>
      </c>
      <c r="F180" s="56">
        <v>6</v>
      </c>
      <c r="G180" s="42">
        <v>250.98</v>
      </c>
      <c r="H180" s="136" t="s">
        <v>63</v>
      </c>
      <c r="I180" s="100"/>
    </row>
    <row r="181" spans="1:9" s="5" customFormat="1" ht="30" customHeight="1">
      <c r="A181" s="37">
        <v>84</v>
      </c>
      <c r="B181" s="38" t="s">
        <v>566</v>
      </c>
      <c r="C181" s="40" t="s">
        <v>42</v>
      </c>
      <c r="D181" s="40" t="s">
        <v>537</v>
      </c>
      <c r="E181" s="41" t="s">
        <v>25</v>
      </c>
      <c r="F181" s="56">
        <v>15</v>
      </c>
      <c r="G181" s="42">
        <v>635.7</v>
      </c>
      <c r="H181" s="136" t="s">
        <v>63</v>
      </c>
      <c r="I181" s="100"/>
    </row>
    <row r="182" spans="1:9" s="5" customFormat="1" ht="30" customHeight="1">
      <c r="A182" s="37">
        <v>85</v>
      </c>
      <c r="B182" s="38" t="s">
        <v>662</v>
      </c>
      <c r="C182" s="40" t="s">
        <v>21</v>
      </c>
      <c r="D182" s="40" t="s">
        <v>537</v>
      </c>
      <c r="E182" s="41" t="s">
        <v>25</v>
      </c>
      <c r="F182" s="56">
        <v>11</v>
      </c>
      <c r="G182" s="42">
        <v>272.47</v>
      </c>
      <c r="H182" s="136" t="s">
        <v>63</v>
      </c>
      <c r="I182" s="100"/>
    </row>
    <row r="183" spans="1:9" s="5" customFormat="1" ht="30" customHeight="1">
      <c r="A183" s="37">
        <v>86</v>
      </c>
      <c r="B183" s="38" t="s">
        <v>418</v>
      </c>
      <c r="C183" s="40" t="s">
        <v>171</v>
      </c>
      <c r="D183" s="40" t="s">
        <v>537</v>
      </c>
      <c r="E183" s="41" t="s">
        <v>25</v>
      </c>
      <c r="F183" s="56">
        <v>15</v>
      </c>
      <c r="G183" s="42">
        <v>793.95</v>
      </c>
      <c r="H183" s="136" t="s">
        <v>63</v>
      </c>
      <c r="I183" s="100"/>
    </row>
    <row r="184" spans="1:9" s="5" customFormat="1" ht="30" customHeight="1">
      <c r="A184" s="37">
        <v>87</v>
      </c>
      <c r="B184" s="38" t="s">
        <v>351</v>
      </c>
      <c r="C184" s="40" t="s">
        <v>31</v>
      </c>
      <c r="D184" s="40" t="s">
        <v>567</v>
      </c>
      <c r="E184" s="41" t="s">
        <v>22</v>
      </c>
      <c r="F184" s="56">
        <v>8</v>
      </c>
      <c r="G184" s="42">
        <v>210.08</v>
      </c>
      <c r="H184" s="136" t="s">
        <v>63</v>
      </c>
      <c r="I184" s="100"/>
    </row>
    <row r="185" spans="1:9" s="5" customFormat="1" ht="30" customHeight="1">
      <c r="A185" s="37">
        <v>88</v>
      </c>
      <c r="B185" s="38" t="s">
        <v>568</v>
      </c>
      <c r="C185" s="40" t="s">
        <v>36</v>
      </c>
      <c r="D185" s="40" t="s">
        <v>537</v>
      </c>
      <c r="E185" s="41" t="s">
        <v>25</v>
      </c>
      <c r="F185" s="56">
        <v>2</v>
      </c>
      <c r="G185" s="42">
        <v>1092.64</v>
      </c>
      <c r="H185" s="136" t="s">
        <v>63</v>
      </c>
      <c r="I185" s="100"/>
    </row>
    <row r="186" spans="1:9" s="5" customFormat="1" ht="30" customHeight="1">
      <c r="A186" s="37">
        <v>89</v>
      </c>
      <c r="B186" s="38" t="s">
        <v>569</v>
      </c>
      <c r="C186" s="40" t="s">
        <v>36</v>
      </c>
      <c r="D186" s="40" t="s">
        <v>537</v>
      </c>
      <c r="E186" s="41" t="s">
        <v>25</v>
      </c>
      <c r="F186" s="56">
        <v>2</v>
      </c>
      <c r="G186" s="42">
        <v>385.26</v>
      </c>
      <c r="H186" s="136" t="s">
        <v>63</v>
      </c>
      <c r="I186" s="100"/>
    </row>
    <row r="187" spans="1:9" s="5" customFormat="1" ht="30" customHeight="1">
      <c r="A187" s="37">
        <v>90</v>
      </c>
      <c r="B187" s="38" t="s">
        <v>335</v>
      </c>
      <c r="C187" s="40" t="s">
        <v>260</v>
      </c>
      <c r="D187" s="40" t="s">
        <v>537</v>
      </c>
      <c r="E187" s="41" t="s">
        <v>25</v>
      </c>
      <c r="F187" s="56">
        <v>2</v>
      </c>
      <c r="G187" s="42">
        <v>7000</v>
      </c>
      <c r="H187" s="136" t="s">
        <v>63</v>
      </c>
      <c r="I187" s="100"/>
    </row>
    <row r="188" spans="1:9" s="5" customFormat="1" ht="30" customHeight="1">
      <c r="A188" s="37">
        <v>91</v>
      </c>
      <c r="B188" s="38" t="s">
        <v>570</v>
      </c>
      <c r="C188" s="40" t="s">
        <v>36</v>
      </c>
      <c r="D188" s="40" t="s">
        <v>537</v>
      </c>
      <c r="E188" s="41" t="s">
        <v>25</v>
      </c>
      <c r="F188" s="56">
        <v>1</v>
      </c>
      <c r="G188" s="42">
        <v>1650.55</v>
      </c>
      <c r="H188" s="136" t="s">
        <v>63</v>
      </c>
      <c r="I188" s="100"/>
    </row>
    <row r="189" spans="1:9" s="5" customFormat="1" ht="30" customHeight="1">
      <c r="A189" s="37">
        <v>92</v>
      </c>
      <c r="B189" s="38" t="s">
        <v>571</v>
      </c>
      <c r="C189" s="40" t="s">
        <v>179</v>
      </c>
      <c r="D189" s="40" t="s">
        <v>537</v>
      </c>
      <c r="E189" s="41" t="s">
        <v>25</v>
      </c>
      <c r="F189" s="56">
        <v>4</v>
      </c>
      <c r="G189" s="42">
        <v>491.92</v>
      </c>
      <c r="H189" s="136" t="s">
        <v>63</v>
      </c>
      <c r="I189" s="100"/>
    </row>
    <row r="190" spans="1:9" s="5" customFormat="1" ht="30" customHeight="1">
      <c r="A190" s="37">
        <v>93</v>
      </c>
      <c r="B190" s="38" t="s">
        <v>572</v>
      </c>
      <c r="C190" s="40" t="s">
        <v>573</v>
      </c>
      <c r="D190" s="40" t="s">
        <v>537</v>
      </c>
      <c r="E190" s="41" t="s">
        <v>25</v>
      </c>
      <c r="F190" s="56">
        <v>4</v>
      </c>
      <c r="G190" s="42">
        <v>68</v>
      </c>
      <c r="H190" s="136" t="s">
        <v>63</v>
      </c>
      <c r="I190" s="100"/>
    </row>
    <row r="191" spans="1:9" s="5" customFormat="1" ht="45" customHeight="1">
      <c r="A191" s="37">
        <v>94</v>
      </c>
      <c r="B191" s="38" t="s">
        <v>574</v>
      </c>
      <c r="C191" s="40" t="s">
        <v>391</v>
      </c>
      <c r="D191" s="40" t="s">
        <v>537</v>
      </c>
      <c r="E191" s="41" t="s">
        <v>25</v>
      </c>
      <c r="F191" s="56">
        <v>2</v>
      </c>
      <c r="G191" s="42">
        <v>534.02</v>
      </c>
      <c r="H191" s="136" t="s">
        <v>63</v>
      </c>
      <c r="I191" s="100"/>
    </row>
    <row r="192" spans="1:9" s="5" customFormat="1" ht="30" customHeight="1">
      <c r="A192" s="37">
        <v>95</v>
      </c>
      <c r="B192" s="38" t="s">
        <v>575</v>
      </c>
      <c r="C192" s="40" t="s">
        <v>576</v>
      </c>
      <c r="D192" s="40" t="s">
        <v>537</v>
      </c>
      <c r="E192" s="41" t="s">
        <v>22</v>
      </c>
      <c r="F192" s="56">
        <v>10</v>
      </c>
      <c r="G192" s="42">
        <v>1308.3</v>
      </c>
      <c r="H192" s="136" t="s">
        <v>63</v>
      </c>
      <c r="I192" s="100"/>
    </row>
    <row r="193" spans="1:9" s="5" customFormat="1" ht="45" customHeight="1">
      <c r="A193" s="37">
        <v>96</v>
      </c>
      <c r="B193" s="38" t="s">
        <v>577</v>
      </c>
      <c r="C193" s="40" t="s">
        <v>168</v>
      </c>
      <c r="D193" s="40" t="s">
        <v>537</v>
      </c>
      <c r="E193" s="41" t="s">
        <v>313</v>
      </c>
      <c r="F193" s="56">
        <v>20</v>
      </c>
      <c r="G193" s="42">
        <v>1000</v>
      </c>
      <c r="H193" s="136" t="s">
        <v>63</v>
      </c>
      <c r="I193" s="100"/>
    </row>
    <row r="194" spans="1:13" ht="45" customHeight="1">
      <c r="A194" s="37">
        <v>97</v>
      </c>
      <c r="B194" s="38" t="s">
        <v>410</v>
      </c>
      <c r="C194" s="40" t="s">
        <v>52</v>
      </c>
      <c r="D194" s="40" t="s">
        <v>537</v>
      </c>
      <c r="E194" s="41" t="s">
        <v>25</v>
      </c>
      <c r="F194" s="41">
        <v>30</v>
      </c>
      <c r="G194" s="295">
        <v>597.3</v>
      </c>
      <c r="H194" s="136" t="s">
        <v>63</v>
      </c>
      <c r="I194" s="100"/>
      <c r="L194" s="74"/>
      <c r="M194" s="74">
        <f>G194-K194</f>
        <v>597.3</v>
      </c>
    </row>
    <row r="195" spans="1:14" s="10" customFormat="1" ht="30" customHeight="1">
      <c r="A195" s="296"/>
      <c r="B195" s="260" t="s">
        <v>545</v>
      </c>
      <c r="C195" s="261"/>
      <c r="D195" s="262"/>
      <c r="E195" s="263"/>
      <c r="F195" s="263"/>
      <c r="G195" s="297">
        <f>SUM(G172:G194)</f>
        <v>27613.999999999996</v>
      </c>
      <c r="H195" s="265"/>
      <c r="I195" s="100"/>
      <c r="K195" s="267">
        <f>SUM(K172:K194)</f>
        <v>0</v>
      </c>
      <c r="L195" s="267"/>
      <c r="M195" s="267">
        <f>SUM(M172:M194)</f>
        <v>1487.55</v>
      </c>
      <c r="N195" s="267"/>
    </row>
    <row r="196" spans="1:13" ht="32.25" customHeight="1">
      <c r="A196" s="37">
        <v>98</v>
      </c>
      <c r="B196" s="38" t="s">
        <v>235</v>
      </c>
      <c r="C196" s="40" t="s">
        <v>116</v>
      </c>
      <c r="D196" s="40" t="s">
        <v>546</v>
      </c>
      <c r="E196" s="41" t="s">
        <v>113</v>
      </c>
      <c r="F196" s="50" t="s">
        <v>117</v>
      </c>
      <c r="G196" s="295">
        <v>492</v>
      </c>
      <c r="H196" s="40" t="s">
        <v>63</v>
      </c>
      <c r="I196" s="100"/>
      <c r="K196" s="12">
        <f>154</f>
        <v>154</v>
      </c>
      <c r="L196" s="74">
        <f aca="true" t="shared" si="5" ref="L196:L201">G196-K196</f>
        <v>338</v>
      </c>
      <c r="M196" s="74"/>
    </row>
    <row r="197" spans="1:13" ht="32.25" customHeight="1">
      <c r="A197" s="37">
        <v>99</v>
      </c>
      <c r="B197" s="38" t="s">
        <v>433</v>
      </c>
      <c r="C197" s="40" t="s">
        <v>234</v>
      </c>
      <c r="D197" s="40" t="s">
        <v>546</v>
      </c>
      <c r="E197" s="41" t="s">
        <v>113</v>
      </c>
      <c r="F197" s="50" t="s">
        <v>117</v>
      </c>
      <c r="G197" s="295">
        <v>780</v>
      </c>
      <c r="H197" s="40" t="s">
        <v>63</v>
      </c>
      <c r="I197" s="100"/>
      <c r="K197" s="12">
        <f>260</f>
        <v>260</v>
      </c>
      <c r="L197" s="74">
        <f t="shared" si="5"/>
        <v>520</v>
      </c>
      <c r="M197" s="74"/>
    </row>
    <row r="198" spans="1:13" ht="47.25" customHeight="1">
      <c r="A198" s="37">
        <v>100</v>
      </c>
      <c r="B198" s="38" t="s">
        <v>236</v>
      </c>
      <c r="C198" s="40" t="s">
        <v>119</v>
      </c>
      <c r="D198" s="40" t="s">
        <v>546</v>
      </c>
      <c r="E198" s="41" t="s">
        <v>120</v>
      </c>
      <c r="F198" s="41" t="s">
        <v>121</v>
      </c>
      <c r="G198" s="295">
        <v>2378</v>
      </c>
      <c r="H198" s="40" t="s">
        <v>63</v>
      </c>
      <c r="I198" s="100"/>
      <c r="K198" s="12">
        <f>608.5</f>
        <v>608.5</v>
      </c>
      <c r="L198" s="74">
        <f t="shared" si="5"/>
        <v>1769.5</v>
      </c>
      <c r="M198" s="74"/>
    </row>
    <row r="199" spans="1:13" ht="32.25" customHeight="1">
      <c r="A199" s="37">
        <v>101</v>
      </c>
      <c r="B199" s="38" t="s">
        <v>130</v>
      </c>
      <c r="C199" s="40" t="s">
        <v>131</v>
      </c>
      <c r="D199" s="40" t="s">
        <v>546</v>
      </c>
      <c r="E199" s="41" t="s">
        <v>25</v>
      </c>
      <c r="F199" s="41">
        <v>1</v>
      </c>
      <c r="G199" s="295">
        <v>280</v>
      </c>
      <c r="H199" s="40" t="s">
        <v>63</v>
      </c>
      <c r="I199" s="100"/>
      <c r="K199" s="12">
        <v>560</v>
      </c>
      <c r="L199" s="74">
        <f t="shared" si="5"/>
        <v>-280</v>
      </c>
      <c r="M199" s="74"/>
    </row>
    <row r="200" spans="1:13" ht="31.5" customHeight="1">
      <c r="A200" s="37">
        <v>102</v>
      </c>
      <c r="B200" s="38" t="s">
        <v>130</v>
      </c>
      <c r="C200" s="40" t="s">
        <v>131</v>
      </c>
      <c r="D200" s="40" t="s">
        <v>546</v>
      </c>
      <c r="E200" s="41" t="s">
        <v>25</v>
      </c>
      <c r="F200" s="41">
        <v>1</v>
      </c>
      <c r="G200" s="295">
        <v>280</v>
      </c>
      <c r="H200" s="40" t="s">
        <v>19</v>
      </c>
      <c r="I200" s="100"/>
      <c r="L200" s="74">
        <f t="shared" si="5"/>
        <v>280</v>
      </c>
      <c r="M200" s="74"/>
    </row>
    <row r="201" spans="1:13" ht="29.25" customHeight="1">
      <c r="A201" s="37">
        <v>103</v>
      </c>
      <c r="B201" s="38" t="s">
        <v>130</v>
      </c>
      <c r="C201" s="40" t="s">
        <v>131</v>
      </c>
      <c r="D201" s="40" t="s">
        <v>546</v>
      </c>
      <c r="E201" s="41" t="s">
        <v>25</v>
      </c>
      <c r="F201" s="41">
        <v>1</v>
      </c>
      <c r="G201" s="295">
        <v>280</v>
      </c>
      <c r="H201" s="40" t="s">
        <v>132</v>
      </c>
      <c r="I201" s="100"/>
      <c r="L201" s="74">
        <f t="shared" si="5"/>
        <v>280</v>
      </c>
      <c r="M201" s="74"/>
    </row>
    <row r="202" spans="1:12" s="10" customFormat="1" ht="30" customHeight="1">
      <c r="A202" s="296"/>
      <c r="B202" s="260" t="s">
        <v>549</v>
      </c>
      <c r="C202" s="261"/>
      <c r="D202" s="262"/>
      <c r="E202" s="263"/>
      <c r="F202" s="263"/>
      <c r="G202" s="297">
        <f>SUM(G196:G201)</f>
        <v>4490</v>
      </c>
      <c r="H202" s="262"/>
      <c r="I202" s="100"/>
      <c r="K202" s="10">
        <f>SUM(K196:K201)</f>
        <v>1582.5</v>
      </c>
      <c r="L202" s="267"/>
    </row>
    <row r="203" spans="1:9" ht="33.75" customHeight="1">
      <c r="A203" s="37">
        <v>104</v>
      </c>
      <c r="B203" s="38" t="s">
        <v>137</v>
      </c>
      <c r="C203" s="52" t="s">
        <v>138</v>
      </c>
      <c r="D203" s="40" t="s">
        <v>578</v>
      </c>
      <c r="E203" s="41" t="s">
        <v>579</v>
      </c>
      <c r="F203" s="69">
        <f>G203/2878.75</f>
        <v>35.848892748588796</v>
      </c>
      <c r="G203" s="295">
        <v>103200</v>
      </c>
      <c r="H203" s="40" t="s">
        <v>63</v>
      </c>
      <c r="I203" s="100"/>
    </row>
    <row r="204" spans="1:12" s="10" customFormat="1" ht="30" customHeight="1">
      <c r="A204" s="296"/>
      <c r="B204" s="260" t="s">
        <v>580</v>
      </c>
      <c r="C204" s="261"/>
      <c r="D204" s="262"/>
      <c r="E204" s="263"/>
      <c r="F204" s="263"/>
      <c r="G204" s="297">
        <f>G203</f>
        <v>103200</v>
      </c>
      <c r="H204" s="262"/>
      <c r="I204" s="100"/>
      <c r="L204" s="267"/>
    </row>
    <row r="205" spans="1:9" ht="28.5" customHeight="1">
      <c r="A205" s="37">
        <v>105</v>
      </c>
      <c r="B205" s="38" t="s">
        <v>485</v>
      </c>
      <c r="C205" s="54" t="s">
        <v>245</v>
      </c>
      <c r="D205" s="40" t="s">
        <v>581</v>
      </c>
      <c r="E205" s="41" t="s">
        <v>110</v>
      </c>
      <c r="F205" s="53">
        <v>26.54</v>
      </c>
      <c r="G205" s="295">
        <v>337.53</v>
      </c>
      <c r="H205" s="40" t="s">
        <v>63</v>
      </c>
      <c r="I205" s="100"/>
    </row>
    <row r="206" spans="1:9" ht="28.5" customHeight="1">
      <c r="A206" s="37">
        <v>106</v>
      </c>
      <c r="B206" s="38" t="s">
        <v>517</v>
      </c>
      <c r="C206" s="55" t="s">
        <v>518</v>
      </c>
      <c r="D206" s="40" t="s">
        <v>581</v>
      </c>
      <c r="E206" s="41" t="s">
        <v>110</v>
      </c>
      <c r="F206" s="53">
        <v>26.54</v>
      </c>
      <c r="G206" s="295">
        <v>362.47</v>
      </c>
      <c r="H206" s="40" t="s">
        <v>63</v>
      </c>
      <c r="I206" s="100"/>
    </row>
    <row r="207" spans="1:9" s="10" customFormat="1" ht="30" customHeight="1">
      <c r="A207" s="296"/>
      <c r="B207" s="260" t="s">
        <v>582</v>
      </c>
      <c r="C207" s="261"/>
      <c r="D207" s="262"/>
      <c r="E207" s="263"/>
      <c r="F207" s="263"/>
      <c r="G207" s="297">
        <f>SUM(G205:G206)</f>
        <v>700</v>
      </c>
      <c r="H207" s="262"/>
      <c r="I207" s="100"/>
    </row>
    <row r="208" spans="1:11" ht="31.5" customHeight="1">
      <c r="A208" s="37">
        <v>107</v>
      </c>
      <c r="B208" s="38" t="s">
        <v>142</v>
      </c>
      <c r="C208" s="54" t="s">
        <v>143</v>
      </c>
      <c r="D208" s="40" t="s">
        <v>550</v>
      </c>
      <c r="E208" s="41" t="s">
        <v>145</v>
      </c>
      <c r="F208" s="56">
        <f>G208/4.143</f>
        <v>2667.1494086410817</v>
      </c>
      <c r="G208" s="295">
        <v>11050</v>
      </c>
      <c r="H208" s="40" t="s">
        <v>63</v>
      </c>
      <c r="I208" s="100"/>
      <c r="K208" s="12">
        <f>5110.25</f>
        <v>5110.25</v>
      </c>
    </row>
    <row r="209" spans="1:9" s="10" customFormat="1" ht="30" customHeight="1">
      <c r="A209" s="296"/>
      <c r="B209" s="260" t="s">
        <v>551</v>
      </c>
      <c r="C209" s="261"/>
      <c r="D209" s="262"/>
      <c r="E209" s="263"/>
      <c r="F209" s="263"/>
      <c r="G209" s="297">
        <f>G208</f>
        <v>11050</v>
      </c>
      <c r="H209" s="262"/>
      <c r="I209" s="100"/>
    </row>
    <row r="210" spans="1:9" ht="22.5" customHeight="1">
      <c r="A210" s="102"/>
      <c r="B210" s="103" t="s">
        <v>151</v>
      </c>
      <c r="C210" s="103"/>
      <c r="D210" s="103"/>
      <c r="E210" s="103"/>
      <c r="F210" s="103"/>
      <c r="G210" s="303"/>
      <c r="H210" s="105"/>
      <c r="I210" s="141"/>
    </row>
    <row r="211" spans="1:9" ht="22.5" customHeight="1">
      <c r="A211" s="19"/>
      <c r="B211" s="106" t="s">
        <v>152</v>
      </c>
      <c r="C211" s="107"/>
      <c r="D211" s="108" t="s">
        <v>153</v>
      </c>
      <c r="E211" s="109"/>
      <c r="F211" s="109"/>
      <c r="G211" s="304"/>
      <c r="H211" s="8"/>
      <c r="I211" s="141"/>
    </row>
    <row r="212" spans="1:9" ht="22.5" customHeight="1">
      <c r="A212" s="19"/>
      <c r="B212" s="111"/>
      <c r="C212" s="9"/>
      <c r="D212" s="112" t="s">
        <v>154</v>
      </c>
      <c r="E212" s="113" t="s">
        <v>155</v>
      </c>
      <c r="F212" s="114"/>
      <c r="G212" s="304"/>
      <c r="H212" s="8"/>
      <c r="I212" s="141"/>
    </row>
    <row r="213" spans="1:9" ht="22.5" customHeight="1">
      <c r="A213" s="19"/>
      <c r="B213" s="115" t="s">
        <v>156</v>
      </c>
      <c r="C213" s="116"/>
      <c r="D213" s="108" t="s">
        <v>157</v>
      </c>
      <c r="E213" s="109"/>
      <c r="F213" s="109"/>
      <c r="G213" s="304"/>
      <c r="H213" s="8"/>
      <c r="I213" s="141"/>
    </row>
    <row r="214" spans="1:9" ht="22.5" customHeight="1">
      <c r="A214" s="19"/>
      <c r="B214" s="111"/>
      <c r="C214" s="9"/>
      <c r="D214" s="112" t="s">
        <v>154</v>
      </c>
      <c r="E214" s="113"/>
      <c r="F214" s="114"/>
      <c r="G214" s="304"/>
      <c r="H214" s="8"/>
      <c r="I214" s="141"/>
    </row>
    <row r="215" spans="1:9" s="2" customFormat="1" ht="22.5" customHeight="1">
      <c r="A215" s="169"/>
      <c r="B215" s="115" t="s">
        <v>158</v>
      </c>
      <c r="C215" s="116"/>
      <c r="D215" s="116"/>
      <c r="E215" s="116"/>
      <c r="F215" s="116"/>
      <c r="G215" s="307"/>
      <c r="H215" s="171"/>
      <c r="I215" s="191"/>
    </row>
    <row r="216" spans="1:9" s="2" customFormat="1" ht="30" customHeight="1">
      <c r="A216" s="169"/>
      <c r="B216" s="305" t="s">
        <v>159</v>
      </c>
      <c r="C216" s="116"/>
      <c r="D216" s="306" t="s">
        <v>160</v>
      </c>
      <c r="E216" s="306"/>
      <c r="F216" s="306"/>
      <c r="G216" s="307"/>
      <c r="H216" s="171"/>
      <c r="I216" s="191"/>
    </row>
    <row r="217" spans="1:9" ht="22.5" customHeight="1">
      <c r="A217" s="19"/>
      <c r="B217" s="119" t="s">
        <v>486</v>
      </c>
      <c r="C217" s="119"/>
      <c r="D217" s="119"/>
      <c r="E217" s="9"/>
      <c r="F217" s="9"/>
      <c r="G217" s="304"/>
      <c r="H217" s="8"/>
      <c r="I217" s="141"/>
    </row>
    <row r="218" spans="1:9" ht="67.5" customHeight="1">
      <c r="A218" s="19"/>
      <c r="B218" s="8" t="s">
        <v>0</v>
      </c>
      <c r="C218" s="20"/>
      <c r="D218" s="21"/>
      <c r="E218" s="22"/>
      <c r="F218" s="23" t="s">
        <v>1</v>
      </c>
      <c r="G218" s="23"/>
      <c r="H218" s="21"/>
      <c r="I218" s="70"/>
    </row>
    <row r="219" spans="1:9" ht="45" customHeight="1">
      <c r="A219" s="24" t="s">
        <v>536</v>
      </c>
      <c r="B219" s="24"/>
      <c r="C219" s="24"/>
      <c r="D219" s="24"/>
      <c r="E219" s="24"/>
      <c r="F219" s="24"/>
      <c r="G219" s="24"/>
      <c r="H219" s="24"/>
      <c r="I219" s="24"/>
    </row>
    <row r="220" spans="1:9" ht="29.25" customHeight="1" hidden="1">
      <c r="A220" s="35" t="s">
        <v>663</v>
      </c>
      <c r="B220" s="144"/>
      <c r="C220" s="144"/>
      <c r="D220" s="144"/>
      <c r="E220" s="144"/>
      <c r="F220" s="144"/>
      <c r="G220" s="144"/>
      <c r="H220" s="144"/>
      <c r="I220" s="144"/>
    </row>
    <row r="221" spans="3:9" ht="15" customHeight="1">
      <c r="C221" s="145"/>
      <c r="D221" s="60" t="s">
        <v>4</v>
      </c>
      <c r="E221" s="145"/>
      <c r="F221" s="145"/>
      <c r="G221" s="309"/>
      <c r="H221" s="61"/>
      <c r="I221" s="61"/>
    </row>
    <row r="222" spans="5:6" ht="15" customHeight="1">
      <c r="E222" s="3"/>
      <c r="F222" s="3"/>
    </row>
    <row r="223" spans="1:11" ht="15.75" customHeight="1">
      <c r="A223" s="83" t="s">
        <v>5</v>
      </c>
      <c r="B223" s="27" t="s">
        <v>6</v>
      </c>
      <c r="C223" s="28" t="s">
        <v>7</v>
      </c>
      <c r="D223" s="63" t="s">
        <v>8</v>
      </c>
      <c r="E223" s="28" t="s">
        <v>9</v>
      </c>
      <c r="F223" s="28" t="s">
        <v>10</v>
      </c>
      <c r="G223" s="63" t="s">
        <v>11</v>
      </c>
      <c r="H223" s="63" t="s">
        <v>12</v>
      </c>
      <c r="I223" s="63" t="s">
        <v>13</v>
      </c>
      <c r="J223" s="71"/>
      <c r="K223" s="71"/>
    </row>
    <row r="224" spans="1:9" ht="31.5" customHeight="1">
      <c r="A224" s="84"/>
      <c r="B224" s="30"/>
      <c r="C224" s="31"/>
      <c r="D224" s="65"/>
      <c r="E224" s="31"/>
      <c r="F224" s="31"/>
      <c r="G224" s="65"/>
      <c r="H224" s="65"/>
      <c r="I224" s="65"/>
    </row>
    <row r="225" spans="1:9" ht="37.5" customHeight="1">
      <c r="A225" s="85"/>
      <c r="B225" s="33"/>
      <c r="C225" s="34"/>
      <c r="D225" s="67"/>
      <c r="E225" s="34"/>
      <c r="F225" s="34"/>
      <c r="G225" s="67"/>
      <c r="H225" s="67"/>
      <c r="I225" s="67"/>
    </row>
    <row r="226" spans="1:9" ht="20.25" customHeight="1">
      <c r="A226" s="32">
        <v>1</v>
      </c>
      <c r="B226" s="33">
        <v>2</v>
      </c>
      <c r="C226" s="34">
        <v>3</v>
      </c>
      <c r="D226" s="67">
        <v>4</v>
      </c>
      <c r="E226" s="34">
        <v>5</v>
      </c>
      <c r="F226" s="34">
        <v>6</v>
      </c>
      <c r="G226" s="67">
        <v>7</v>
      </c>
      <c r="H226" s="67">
        <v>8</v>
      </c>
      <c r="I226" s="76">
        <v>9</v>
      </c>
    </row>
    <row r="227" spans="1:14" ht="30" customHeight="1">
      <c r="A227" s="37">
        <v>108</v>
      </c>
      <c r="B227" s="38" t="s">
        <v>15</v>
      </c>
      <c r="C227" s="39" t="s">
        <v>16</v>
      </c>
      <c r="D227" s="40" t="s">
        <v>537</v>
      </c>
      <c r="E227" s="41" t="s">
        <v>18</v>
      </c>
      <c r="F227" s="41">
        <v>5</v>
      </c>
      <c r="G227" s="295">
        <v>1050</v>
      </c>
      <c r="H227" s="40" t="s">
        <v>63</v>
      </c>
      <c r="I227" s="77" t="s">
        <v>253</v>
      </c>
      <c r="L227" s="74">
        <f>G227-K227</f>
        <v>1050</v>
      </c>
      <c r="M227" s="12">
        <v>4</v>
      </c>
      <c r="N227" s="12">
        <f>550-330</f>
        <v>220</v>
      </c>
    </row>
    <row r="228" spans="1:12" ht="30" customHeight="1">
      <c r="A228" s="37">
        <v>109</v>
      </c>
      <c r="B228" s="38" t="s">
        <v>538</v>
      </c>
      <c r="C228" s="43" t="s">
        <v>16</v>
      </c>
      <c r="D228" s="40" t="s">
        <v>537</v>
      </c>
      <c r="E228" s="41" t="s">
        <v>25</v>
      </c>
      <c r="F228" s="41">
        <v>20</v>
      </c>
      <c r="G228" s="295">
        <v>300</v>
      </c>
      <c r="H228" s="40" t="s">
        <v>63</v>
      </c>
      <c r="I228" s="149"/>
      <c r="L228" s="74"/>
    </row>
    <row r="229" spans="1:12" ht="30" customHeight="1">
      <c r="A229" s="37">
        <v>110</v>
      </c>
      <c r="B229" s="38" t="s">
        <v>351</v>
      </c>
      <c r="C229" s="43" t="s">
        <v>31</v>
      </c>
      <c r="D229" s="40" t="s">
        <v>537</v>
      </c>
      <c r="E229" s="41" t="s">
        <v>22</v>
      </c>
      <c r="F229" s="41">
        <v>2</v>
      </c>
      <c r="G229" s="295">
        <v>52.52</v>
      </c>
      <c r="H229" s="40" t="s">
        <v>63</v>
      </c>
      <c r="I229" s="149"/>
      <c r="L229" s="74"/>
    </row>
    <row r="230" spans="1:12" ht="30" customHeight="1">
      <c r="A230" s="37">
        <v>111</v>
      </c>
      <c r="B230" s="38" t="s">
        <v>539</v>
      </c>
      <c r="C230" s="40" t="s">
        <v>27</v>
      </c>
      <c r="D230" s="40" t="s">
        <v>537</v>
      </c>
      <c r="E230" s="41" t="s">
        <v>22</v>
      </c>
      <c r="F230" s="41">
        <v>1</v>
      </c>
      <c r="G230" s="295">
        <v>175.38</v>
      </c>
      <c r="H230" s="40" t="s">
        <v>63</v>
      </c>
      <c r="I230" s="149"/>
      <c r="L230" s="74"/>
    </row>
    <row r="231" spans="1:12" ht="30" customHeight="1">
      <c r="A231" s="37">
        <v>112</v>
      </c>
      <c r="B231" s="38" t="s">
        <v>540</v>
      </c>
      <c r="C231" s="40" t="s">
        <v>27</v>
      </c>
      <c r="D231" s="40" t="s">
        <v>537</v>
      </c>
      <c r="E231" s="41" t="s">
        <v>25</v>
      </c>
      <c r="F231" s="41">
        <v>1</v>
      </c>
      <c r="G231" s="295">
        <v>59.35</v>
      </c>
      <c r="H231" s="40" t="s">
        <v>63</v>
      </c>
      <c r="I231" s="149"/>
      <c r="L231" s="74">
        <f>G231-K231</f>
        <v>59.35</v>
      </c>
    </row>
    <row r="232" spans="1:12" ht="45" customHeight="1">
      <c r="A232" s="37">
        <v>113</v>
      </c>
      <c r="B232" s="94" t="s">
        <v>541</v>
      </c>
      <c r="C232" s="40" t="s">
        <v>168</v>
      </c>
      <c r="D232" s="40" t="s">
        <v>537</v>
      </c>
      <c r="E232" s="41" t="s">
        <v>25</v>
      </c>
      <c r="F232" s="41">
        <v>5</v>
      </c>
      <c r="G232" s="295">
        <v>427.4</v>
      </c>
      <c r="H232" s="40" t="s">
        <v>63</v>
      </c>
      <c r="I232" s="149"/>
      <c r="L232" s="74"/>
    </row>
    <row r="233" spans="1:12" ht="30" customHeight="1">
      <c r="A233" s="37">
        <v>114</v>
      </c>
      <c r="B233" s="94" t="s">
        <v>418</v>
      </c>
      <c r="C233" s="40" t="s">
        <v>171</v>
      </c>
      <c r="D233" s="40" t="s">
        <v>537</v>
      </c>
      <c r="E233" s="41" t="s">
        <v>25</v>
      </c>
      <c r="F233" s="41">
        <v>6</v>
      </c>
      <c r="G233" s="295">
        <v>317.94</v>
      </c>
      <c r="H233" s="40" t="s">
        <v>63</v>
      </c>
      <c r="I233" s="149"/>
      <c r="L233" s="74"/>
    </row>
    <row r="234" spans="1:12" ht="30" customHeight="1">
      <c r="A234" s="37">
        <v>115</v>
      </c>
      <c r="B234" s="94" t="s">
        <v>542</v>
      </c>
      <c r="C234" s="40" t="s">
        <v>24</v>
      </c>
      <c r="D234" s="40" t="s">
        <v>537</v>
      </c>
      <c r="E234" s="41" t="s">
        <v>25</v>
      </c>
      <c r="F234" s="41">
        <v>2</v>
      </c>
      <c r="G234" s="295">
        <v>450.28</v>
      </c>
      <c r="H234" s="40" t="s">
        <v>63</v>
      </c>
      <c r="I234" s="149"/>
      <c r="L234" s="74"/>
    </row>
    <row r="235" spans="1:12" ht="30" customHeight="1">
      <c r="A235" s="37">
        <v>116</v>
      </c>
      <c r="B235" s="94" t="s">
        <v>23</v>
      </c>
      <c r="C235" s="40" t="s">
        <v>24</v>
      </c>
      <c r="D235" s="40" t="s">
        <v>537</v>
      </c>
      <c r="E235" s="41" t="s">
        <v>25</v>
      </c>
      <c r="F235" s="41">
        <v>2</v>
      </c>
      <c r="G235" s="295">
        <v>348.58</v>
      </c>
      <c r="H235" s="40" t="s">
        <v>63</v>
      </c>
      <c r="I235" s="149"/>
      <c r="L235" s="74"/>
    </row>
    <row r="236" spans="1:12" ht="30" customHeight="1">
      <c r="A236" s="37">
        <v>117</v>
      </c>
      <c r="B236" s="94" t="s">
        <v>51</v>
      </c>
      <c r="C236" s="40" t="s">
        <v>52</v>
      </c>
      <c r="D236" s="40" t="s">
        <v>537</v>
      </c>
      <c r="E236" s="41" t="s">
        <v>25</v>
      </c>
      <c r="F236" s="41">
        <v>5</v>
      </c>
      <c r="G236" s="146">
        <v>99.55</v>
      </c>
      <c r="H236" s="40" t="s">
        <v>63</v>
      </c>
      <c r="I236" s="149"/>
      <c r="L236" s="74"/>
    </row>
    <row r="237" spans="1:12" ht="45" customHeight="1">
      <c r="A237" s="37">
        <v>118</v>
      </c>
      <c r="B237" s="94" t="s">
        <v>543</v>
      </c>
      <c r="C237" s="43" t="s">
        <v>544</v>
      </c>
      <c r="D237" s="40" t="s">
        <v>537</v>
      </c>
      <c r="E237" s="41" t="s">
        <v>18</v>
      </c>
      <c r="F237" s="41">
        <v>1</v>
      </c>
      <c r="G237" s="295">
        <v>505</v>
      </c>
      <c r="H237" s="40" t="s">
        <v>63</v>
      </c>
      <c r="I237" s="149"/>
      <c r="L237" s="74"/>
    </row>
    <row r="238" spans="1:12" s="10" customFormat="1" ht="30" customHeight="1">
      <c r="A238" s="296"/>
      <c r="B238" s="260" t="s">
        <v>545</v>
      </c>
      <c r="C238" s="261"/>
      <c r="D238" s="262"/>
      <c r="E238" s="263"/>
      <c r="F238" s="263"/>
      <c r="G238" s="297">
        <f>SUM(G227:G237)</f>
        <v>3786</v>
      </c>
      <c r="H238" s="262"/>
      <c r="I238" s="149"/>
      <c r="K238" s="267">
        <f>SUM(K227:K237)</f>
        <v>0</v>
      </c>
      <c r="L238" s="267">
        <f>SUM(L227:L237)</f>
        <v>1109.35</v>
      </c>
    </row>
    <row r="239" spans="1:12" ht="30" customHeight="1">
      <c r="A239" s="37">
        <v>119</v>
      </c>
      <c r="B239" s="38" t="s">
        <v>235</v>
      </c>
      <c r="C239" s="40" t="s">
        <v>116</v>
      </c>
      <c r="D239" s="40" t="s">
        <v>546</v>
      </c>
      <c r="E239" s="41" t="s">
        <v>113</v>
      </c>
      <c r="F239" s="50" t="s">
        <v>117</v>
      </c>
      <c r="G239" s="295">
        <v>318</v>
      </c>
      <c r="H239" s="40" t="s">
        <v>63</v>
      </c>
      <c r="I239" s="149"/>
      <c r="K239" s="12">
        <f>99</f>
        <v>99</v>
      </c>
      <c r="L239" s="74">
        <f>G239-K239</f>
        <v>219</v>
      </c>
    </row>
    <row r="240" spans="1:12" ht="30" customHeight="1">
      <c r="A240" s="37">
        <v>120</v>
      </c>
      <c r="B240" s="38" t="s">
        <v>433</v>
      </c>
      <c r="C240" s="40" t="s">
        <v>234</v>
      </c>
      <c r="D240" s="40" t="s">
        <v>546</v>
      </c>
      <c r="E240" s="41" t="s">
        <v>113</v>
      </c>
      <c r="F240" s="50" t="s">
        <v>117</v>
      </c>
      <c r="G240" s="295">
        <v>3780</v>
      </c>
      <c r="H240" s="40" t="s">
        <v>63</v>
      </c>
      <c r="I240" s="149"/>
      <c r="K240" s="12">
        <f>1260</f>
        <v>1260</v>
      </c>
      <c r="L240" s="74">
        <f>G240-K240</f>
        <v>2520</v>
      </c>
    </row>
    <row r="241" spans="1:12" ht="43.5" customHeight="1">
      <c r="A241" s="37">
        <v>121</v>
      </c>
      <c r="B241" s="38" t="s">
        <v>236</v>
      </c>
      <c r="C241" s="40" t="s">
        <v>119</v>
      </c>
      <c r="D241" s="40" t="s">
        <v>546</v>
      </c>
      <c r="E241" s="41" t="s">
        <v>120</v>
      </c>
      <c r="F241" s="41" t="s">
        <v>121</v>
      </c>
      <c r="G241" s="295">
        <v>864.98</v>
      </c>
      <c r="H241" s="40" t="s">
        <v>63</v>
      </c>
      <c r="I241" s="149"/>
      <c r="K241" s="12">
        <f>260.68</f>
        <v>260.68</v>
      </c>
      <c r="L241" s="74">
        <f>G241-K241</f>
        <v>604.3</v>
      </c>
    </row>
    <row r="242" spans="1:12" ht="30" customHeight="1">
      <c r="A242" s="37">
        <v>122</v>
      </c>
      <c r="B242" s="38" t="s">
        <v>130</v>
      </c>
      <c r="C242" s="40" t="s">
        <v>131</v>
      </c>
      <c r="D242" s="40" t="s">
        <v>546</v>
      </c>
      <c r="E242" s="41" t="s">
        <v>113</v>
      </c>
      <c r="F242" s="41">
        <v>3</v>
      </c>
      <c r="G242" s="295">
        <v>840</v>
      </c>
      <c r="H242" s="40" t="s">
        <v>19</v>
      </c>
      <c r="I242" s="149"/>
      <c r="K242" s="12">
        <f>50</f>
        <v>50</v>
      </c>
      <c r="L242" s="74">
        <f>G242-K242</f>
        <v>790</v>
      </c>
    </row>
    <row r="243" spans="1:12" ht="30" customHeight="1">
      <c r="A243" s="37">
        <v>123</v>
      </c>
      <c r="B243" s="38" t="s">
        <v>547</v>
      </c>
      <c r="C243" s="40" t="s">
        <v>548</v>
      </c>
      <c r="D243" s="40" t="s">
        <v>546</v>
      </c>
      <c r="E243" s="41" t="s">
        <v>113</v>
      </c>
      <c r="F243" s="41">
        <v>3</v>
      </c>
      <c r="G243" s="295">
        <v>1207.02</v>
      </c>
      <c r="H243" s="40" t="s">
        <v>63</v>
      </c>
      <c r="I243" s="149"/>
      <c r="K243" s="12">
        <f>50</f>
        <v>50</v>
      </c>
      <c r="L243" s="74">
        <f>G243-K243</f>
        <v>1157.02</v>
      </c>
    </row>
    <row r="244" spans="1:12" s="10" customFormat="1" ht="30" customHeight="1">
      <c r="A244" s="296"/>
      <c r="B244" s="260" t="s">
        <v>549</v>
      </c>
      <c r="C244" s="261"/>
      <c r="D244" s="262"/>
      <c r="E244" s="263"/>
      <c r="F244" s="263"/>
      <c r="G244" s="297">
        <f>SUM(G239:G243)</f>
        <v>7010</v>
      </c>
      <c r="H244" s="262"/>
      <c r="I244" s="149"/>
      <c r="K244" s="267">
        <f>SUM(K239:K243)</f>
        <v>1719.68</v>
      </c>
      <c r="L244" s="267">
        <f>SUM(L239:L243)</f>
        <v>5290.32</v>
      </c>
    </row>
    <row r="245" spans="1:11" ht="30" customHeight="1">
      <c r="A245" s="37">
        <v>124</v>
      </c>
      <c r="B245" s="38" t="s">
        <v>142</v>
      </c>
      <c r="C245" s="54" t="s">
        <v>143</v>
      </c>
      <c r="D245" s="40" t="s">
        <v>550</v>
      </c>
      <c r="E245" s="41" t="s">
        <v>145</v>
      </c>
      <c r="F245" s="56">
        <f>G245/4.143</f>
        <v>108.61694424330196</v>
      </c>
      <c r="G245" s="295">
        <v>450</v>
      </c>
      <c r="H245" s="40" t="s">
        <v>63</v>
      </c>
      <c r="I245" s="149"/>
      <c r="K245" s="12">
        <f>165.72</f>
        <v>165.72</v>
      </c>
    </row>
    <row r="246" spans="1:9" s="10" customFormat="1" ht="30" customHeight="1">
      <c r="A246" s="296"/>
      <c r="B246" s="260" t="s">
        <v>551</v>
      </c>
      <c r="C246" s="261"/>
      <c r="D246" s="262"/>
      <c r="E246" s="263"/>
      <c r="F246" s="263"/>
      <c r="G246" s="297">
        <f>SUM(G245)</f>
        <v>450</v>
      </c>
      <c r="H246" s="262"/>
      <c r="I246" s="149"/>
    </row>
    <row r="247" spans="1:9" ht="30" customHeight="1">
      <c r="A247" s="37">
        <v>125</v>
      </c>
      <c r="B247" s="38" t="s">
        <v>552</v>
      </c>
      <c r="C247" s="52" t="s">
        <v>553</v>
      </c>
      <c r="D247" s="40" t="s">
        <v>554</v>
      </c>
      <c r="E247" s="41" t="s">
        <v>110</v>
      </c>
      <c r="F247" s="56">
        <f>G247/13168*1000</f>
        <v>1055.5893074119076</v>
      </c>
      <c r="G247" s="295">
        <v>13900</v>
      </c>
      <c r="H247" s="40" t="s">
        <v>63</v>
      </c>
      <c r="I247" s="149"/>
    </row>
    <row r="248" spans="1:9" s="10" customFormat="1" ht="30" customHeight="1">
      <c r="A248" s="296"/>
      <c r="B248" s="260" t="s">
        <v>555</v>
      </c>
      <c r="C248" s="261"/>
      <c r="D248" s="262"/>
      <c r="E248" s="263"/>
      <c r="F248" s="263"/>
      <c r="G248" s="297">
        <f>SUM(G247)</f>
        <v>13900</v>
      </c>
      <c r="H248" s="262"/>
      <c r="I248" s="149"/>
    </row>
    <row r="249" spans="1:9" ht="22.5" customHeight="1">
      <c r="A249" s="102"/>
      <c r="B249" s="103" t="s">
        <v>151</v>
      </c>
      <c r="C249" s="103"/>
      <c r="D249" s="103"/>
      <c r="E249" s="103"/>
      <c r="F249" s="103"/>
      <c r="G249" s="303"/>
      <c r="H249" s="105"/>
      <c r="I249" s="141"/>
    </row>
    <row r="250" spans="1:9" ht="22.5" customHeight="1">
      <c r="A250" s="19"/>
      <c r="B250" s="106" t="s">
        <v>152</v>
      </c>
      <c r="C250" s="107"/>
      <c r="D250" s="108" t="s">
        <v>153</v>
      </c>
      <c r="E250" s="109"/>
      <c r="F250" s="109"/>
      <c r="G250" s="304"/>
      <c r="H250" s="8"/>
      <c r="I250" s="141"/>
    </row>
    <row r="251" spans="1:9" ht="22.5" customHeight="1">
      <c r="A251" s="19"/>
      <c r="B251" s="111"/>
      <c r="C251" s="9"/>
      <c r="D251" s="112" t="s">
        <v>154</v>
      </c>
      <c r="E251" s="113" t="s">
        <v>155</v>
      </c>
      <c r="F251" s="114"/>
      <c r="G251" s="304"/>
      <c r="H251" s="8"/>
      <c r="I251" s="141"/>
    </row>
    <row r="252" spans="1:9" ht="22.5" customHeight="1">
      <c r="A252" s="19"/>
      <c r="B252" s="115" t="s">
        <v>156</v>
      </c>
      <c r="C252" s="116"/>
      <c r="D252" s="108" t="s">
        <v>157</v>
      </c>
      <c r="E252" s="109"/>
      <c r="F252" s="109"/>
      <c r="G252" s="304"/>
      <c r="H252" s="8"/>
      <c r="I252" s="141"/>
    </row>
    <row r="253" spans="1:9" ht="22.5" customHeight="1">
      <c r="A253" s="19"/>
      <c r="B253" s="111"/>
      <c r="C253" s="9"/>
      <c r="D253" s="112" t="s">
        <v>154</v>
      </c>
      <c r="E253" s="113"/>
      <c r="F253" s="114"/>
      <c r="G253" s="304"/>
      <c r="H253" s="8"/>
      <c r="I253" s="141"/>
    </row>
    <row r="254" spans="1:9" ht="22.5" customHeight="1">
      <c r="A254" s="19"/>
      <c r="B254" s="115" t="s">
        <v>158</v>
      </c>
      <c r="C254" s="9"/>
      <c r="D254" s="9"/>
      <c r="E254" s="9"/>
      <c r="F254" s="9"/>
      <c r="G254" s="304"/>
      <c r="H254" s="8"/>
      <c r="I254" s="141"/>
    </row>
    <row r="255" spans="1:9" s="2" customFormat="1" ht="30" customHeight="1">
      <c r="A255" s="169"/>
      <c r="B255" s="305" t="s">
        <v>159</v>
      </c>
      <c r="C255" s="116"/>
      <c r="D255" s="306" t="s">
        <v>160</v>
      </c>
      <c r="E255" s="306"/>
      <c r="F255" s="306"/>
      <c r="G255" s="307"/>
      <c r="H255" s="171"/>
      <c r="I255" s="191"/>
    </row>
    <row r="256" spans="1:9" ht="22.5" customHeight="1">
      <c r="A256" s="19"/>
      <c r="B256" s="119" t="s">
        <v>486</v>
      </c>
      <c r="C256" s="119"/>
      <c r="D256" s="119"/>
      <c r="E256" s="9"/>
      <c r="F256" s="9"/>
      <c r="G256" s="304"/>
      <c r="H256" s="8"/>
      <c r="I256" s="141"/>
    </row>
    <row r="257" spans="1:9" ht="67.5" customHeight="1">
      <c r="A257" s="19"/>
      <c r="B257" s="8" t="s">
        <v>0</v>
      </c>
      <c r="C257" s="20"/>
      <c r="D257" s="21"/>
      <c r="E257" s="22"/>
      <c r="F257" s="23" t="s">
        <v>1</v>
      </c>
      <c r="G257" s="23"/>
      <c r="H257" s="21"/>
      <c r="I257" s="70"/>
    </row>
    <row r="258" spans="1:9" ht="45" customHeight="1">
      <c r="A258" s="24" t="s">
        <v>519</v>
      </c>
      <c r="B258" s="24"/>
      <c r="C258" s="24"/>
      <c r="D258" s="24"/>
      <c r="E258" s="24"/>
      <c r="F258" s="24"/>
      <c r="G258" s="24"/>
      <c r="H258" s="24"/>
      <c r="I258" s="24"/>
    </row>
    <row r="259" spans="1:9" ht="30" customHeight="1" hidden="1">
      <c r="A259" s="148" t="s">
        <v>664</v>
      </c>
      <c r="B259" s="5"/>
      <c r="C259" s="5"/>
      <c r="D259" s="5"/>
      <c r="E259" s="5"/>
      <c r="F259" s="5"/>
      <c r="G259" s="5"/>
      <c r="H259" s="5"/>
      <c r="I259" s="5"/>
    </row>
    <row r="260" spans="3:9" ht="15" customHeight="1">
      <c r="C260" s="124"/>
      <c r="D260" s="125" t="s">
        <v>4</v>
      </c>
      <c r="E260" s="124"/>
      <c r="F260" s="124"/>
      <c r="G260" s="3"/>
      <c r="H260" s="16"/>
      <c r="I260" s="16"/>
    </row>
    <row r="261" ht="15" customHeight="1"/>
    <row r="262" spans="1:11" ht="15.75" customHeight="1">
      <c r="A262" s="26" t="s">
        <v>5</v>
      </c>
      <c r="B262" s="27" t="s">
        <v>6</v>
      </c>
      <c r="C262" s="28" t="s">
        <v>7</v>
      </c>
      <c r="D262" s="28" t="s">
        <v>249</v>
      </c>
      <c r="E262" s="28" t="s">
        <v>9</v>
      </c>
      <c r="F262" s="28" t="s">
        <v>10</v>
      </c>
      <c r="G262" s="28" t="s">
        <v>250</v>
      </c>
      <c r="H262" s="28" t="s">
        <v>251</v>
      </c>
      <c r="I262" s="28" t="s">
        <v>13</v>
      </c>
      <c r="J262" s="71"/>
      <c r="K262" s="71"/>
    </row>
    <row r="263" spans="1:9" ht="31.5" customHeight="1">
      <c r="A263" s="29"/>
      <c r="B263" s="30"/>
      <c r="C263" s="31"/>
      <c r="D263" s="31"/>
      <c r="E263" s="31"/>
      <c r="F263" s="31"/>
      <c r="G263" s="31"/>
      <c r="H263" s="31"/>
      <c r="I263" s="31"/>
    </row>
    <row r="264" spans="1:9" ht="37.5" customHeight="1">
      <c r="A264" s="32"/>
      <c r="B264" s="33"/>
      <c r="C264" s="34"/>
      <c r="D264" s="34"/>
      <c r="E264" s="34"/>
      <c r="F264" s="34"/>
      <c r="G264" s="34"/>
      <c r="H264" s="34"/>
      <c r="I264" s="34"/>
    </row>
    <row r="265" spans="1:15" ht="20.25" customHeight="1">
      <c r="A265" s="32">
        <v>1</v>
      </c>
      <c r="B265" s="33">
        <v>2</v>
      </c>
      <c r="C265" s="34">
        <v>3</v>
      </c>
      <c r="D265" s="34">
        <v>4</v>
      </c>
      <c r="E265" s="34">
        <v>5</v>
      </c>
      <c r="F265" s="34">
        <v>6</v>
      </c>
      <c r="G265" s="34">
        <v>7</v>
      </c>
      <c r="H265" s="34">
        <v>8</v>
      </c>
      <c r="I265" s="72">
        <v>9</v>
      </c>
      <c r="O265" s="12" t="s">
        <v>520</v>
      </c>
    </row>
    <row r="266" spans="1:12" s="5" customFormat="1" ht="60" customHeight="1">
      <c r="A266" s="37">
        <v>126</v>
      </c>
      <c r="B266" s="38" t="s">
        <v>521</v>
      </c>
      <c r="C266" s="133" t="s">
        <v>21</v>
      </c>
      <c r="D266" s="40" t="s">
        <v>17</v>
      </c>
      <c r="E266" s="41" t="s">
        <v>25</v>
      </c>
      <c r="F266" s="41">
        <v>5</v>
      </c>
      <c r="G266" s="42">
        <v>1846.8</v>
      </c>
      <c r="H266" s="40" t="s">
        <v>19</v>
      </c>
      <c r="I266" s="73" t="s">
        <v>253</v>
      </c>
      <c r="L266" s="165"/>
    </row>
    <row r="267" spans="1:13" ht="30" customHeight="1">
      <c r="A267" s="37">
        <v>127</v>
      </c>
      <c r="B267" s="38" t="s">
        <v>15</v>
      </c>
      <c r="C267" s="40" t="s">
        <v>16</v>
      </c>
      <c r="D267" s="40" t="s">
        <v>17</v>
      </c>
      <c r="E267" s="41" t="s">
        <v>18</v>
      </c>
      <c r="F267" s="41">
        <v>13</v>
      </c>
      <c r="G267" s="295">
        <v>2730</v>
      </c>
      <c r="H267" s="40" t="s">
        <v>19</v>
      </c>
      <c r="I267" s="100"/>
      <c r="L267" s="74">
        <f>F267-J267</f>
        <v>13</v>
      </c>
      <c r="M267" s="74">
        <f>G267-K267</f>
        <v>2730</v>
      </c>
    </row>
    <row r="268" spans="1:12" ht="30" customHeight="1">
      <c r="A268" s="37">
        <v>128</v>
      </c>
      <c r="B268" s="94" t="s">
        <v>522</v>
      </c>
      <c r="C268" s="151" t="s">
        <v>171</v>
      </c>
      <c r="D268" s="40" t="s">
        <v>17</v>
      </c>
      <c r="E268" s="152" t="s">
        <v>523</v>
      </c>
      <c r="F268" s="41">
        <v>3</v>
      </c>
      <c r="G268" s="295">
        <v>192</v>
      </c>
      <c r="H268" s="40" t="s">
        <v>19</v>
      </c>
      <c r="I268" s="100"/>
      <c r="L268" s="74"/>
    </row>
    <row r="269" spans="1:12" ht="30" customHeight="1">
      <c r="A269" s="37">
        <v>129</v>
      </c>
      <c r="B269" s="94" t="s">
        <v>23</v>
      </c>
      <c r="C269" s="151" t="s">
        <v>24</v>
      </c>
      <c r="D269" s="40" t="s">
        <v>17</v>
      </c>
      <c r="E269" s="152" t="s">
        <v>25</v>
      </c>
      <c r="F269" s="41">
        <v>3</v>
      </c>
      <c r="G269" s="295">
        <v>523.17</v>
      </c>
      <c r="H269" s="40" t="s">
        <v>19</v>
      </c>
      <c r="I269" s="100"/>
      <c r="L269" s="74"/>
    </row>
    <row r="270" spans="1:12" ht="30" customHeight="1">
      <c r="A270" s="37">
        <v>130</v>
      </c>
      <c r="B270" s="94" t="s">
        <v>524</v>
      </c>
      <c r="C270" s="153" t="s">
        <v>27</v>
      </c>
      <c r="D270" s="40" t="s">
        <v>17</v>
      </c>
      <c r="E270" s="152" t="s">
        <v>25</v>
      </c>
      <c r="F270" s="41">
        <v>18</v>
      </c>
      <c r="G270" s="295">
        <v>1068.3</v>
      </c>
      <c r="H270" s="40" t="s">
        <v>19</v>
      </c>
      <c r="I270" s="100"/>
      <c r="L270" s="74"/>
    </row>
    <row r="271" spans="1:12" ht="45" customHeight="1">
      <c r="A271" s="37">
        <v>131</v>
      </c>
      <c r="B271" s="94" t="s">
        <v>525</v>
      </c>
      <c r="C271" s="151" t="s">
        <v>27</v>
      </c>
      <c r="D271" s="40" t="s">
        <v>17</v>
      </c>
      <c r="E271" s="152" t="s">
        <v>22</v>
      </c>
      <c r="F271" s="41">
        <v>15</v>
      </c>
      <c r="G271" s="295">
        <v>2645.7</v>
      </c>
      <c r="H271" s="40" t="s">
        <v>19</v>
      </c>
      <c r="I271" s="100"/>
      <c r="L271" s="74"/>
    </row>
    <row r="272" spans="1:12" ht="29.25" customHeight="1">
      <c r="A272" s="37">
        <v>132</v>
      </c>
      <c r="B272" s="94" t="s">
        <v>526</v>
      </c>
      <c r="C272" s="43" t="s">
        <v>16</v>
      </c>
      <c r="D272" s="40" t="s">
        <v>17</v>
      </c>
      <c r="E272" s="41" t="s">
        <v>25</v>
      </c>
      <c r="F272" s="41">
        <v>51</v>
      </c>
      <c r="G272" s="295">
        <v>1031.73</v>
      </c>
      <c r="H272" s="40" t="s">
        <v>19</v>
      </c>
      <c r="I272" s="100"/>
      <c r="L272" s="74"/>
    </row>
    <row r="273" spans="1:12" ht="45" customHeight="1">
      <c r="A273" s="37">
        <v>133</v>
      </c>
      <c r="B273" s="94" t="s">
        <v>51</v>
      </c>
      <c r="C273" s="43" t="s">
        <v>52</v>
      </c>
      <c r="D273" s="40" t="s">
        <v>17</v>
      </c>
      <c r="E273" s="41" t="s">
        <v>25</v>
      </c>
      <c r="F273" s="41">
        <v>60</v>
      </c>
      <c r="G273" s="295">
        <v>1194.6</v>
      </c>
      <c r="H273" s="40" t="s">
        <v>19</v>
      </c>
      <c r="I273" s="100"/>
      <c r="L273" s="74"/>
    </row>
    <row r="274" spans="1:12" ht="60" customHeight="1">
      <c r="A274" s="37">
        <v>134</v>
      </c>
      <c r="B274" s="154" t="s">
        <v>527</v>
      </c>
      <c r="C274" s="43" t="s">
        <v>387</v>
      </c>
      <c r="D274" s="40" t="s">
        <v>17</v>
      </c>
      <c r="E274" s="41" t="s">
        <v>25</v>
      </c>
      <c r="F274" s="41">
        <v>750</v>
      </c>
      <c r="G274" s="295">
        <v>17002.5</v>
      </c>
      <c r="H274" s="40" t="s">
        <v>19</v>
      </c>
      <c r="I274" s="100"/>
      <c r="L274" s="74"/>
    </row>
    <row r="275" spans="1:12" ht="45" customHeight="1">
      <c r="A275" s="37">
        <v>135</v>
      </c>
      <c r="B275" s="94" t="s">
        <v>466</v>
      </c>
      <c r="C275" s="43" t="s">
        <v>204</v>
      </c>
      <c r="D275" s="40" t="s">
        <v>17</v>
      </c>
      <c r="E275" s="41" t="s">
        <v>528</v>
      </c>
      <c r="F275" s="41">
        <v>27</v>
      </c>
      <c r="G275" s="295">
        <v>71415</v>
      </c>
      <c r="H275" s="40" t="s">
        <v>19</v>
      </c>
      <c r="I275" s="100"/>
      <c r="L275" s="74"/>
    </row>
    <row r="276" spans="1:12" ht="30" customHeight="1">
      <c r="A276" s="37">
        <v>136</v>
      </c>
      <c r="B276" s="38" t="s">
        <v>57</v>
      </c>
      <c r="C276" s="40" t="s">
        <v>58</v>
      </c>
      <c r="D276" s="40" t="s">
        <v>17</v>
      </c>
      <c r="E276" s="41" t="s">
        <v>25</v>
      </c>
      <c r="F276" s="41">
        <v>1</v>
      </c>
      <c r="G276" s="295">
        <v>2500.2</v>
      </c>
      <c r="H276" s="155" t="s">
        <v>19</v>
      </c>
      <c r="I276" s="100"/>
      <c r="L276" s="74"/>
    </row>
    <row r="277" spans="1:12" ht="29.25" customHeight="1">
      <c r="A277" s="37">
        <v>137</v>
      </c>
      <c r="B277" s="94" t="s">
        <v>335</v>
      </c>
      <c r="C277" s="43" t="s">
        <v>260</v>
      </c>
      <c r="D277" s="40" t="s">
        <v>17</v>
      </c>
      <c r="E277" s="41" t="s">
        <v>25</v>
      </c>
      <c r="F277" s="41">
        <v>2</v>
      </c>
      <c r="G277" s="295">
        <v>7000</v>
      </c>
      <c r="H277" s="40" t="s">
        <v>19</v>
      </c>
      <c r="I277" s="100"/>
      <c r="L277" s="74"/>
    </row>
    <row r="278" spans="1:14" s="10" customFormat="1" ht="30" customHeight="1">
      <c r="A278" s="296"/>
      <c r="B278" s="260" t="s">
        <v>59</v>
      </c>
      <c r="C278" s="261"/>
      <c r="D278" s="262"/>
      <c r="E278" s="263"/>
      <c r="F278" s="263"/>
      <c r="G278" s="297">
        <f>SUM(G266:G277)</f>
        <v>109150</v>
      </c>
      <c r="H278" s="310"/>
      <c r="I278" s="31"/>
      <c r="K278" s="267" t="e">
        <f>SUM(#REF!)</f>
        <v>#REF!</v>
      </c>
      <c r="L278" s="267"/>
      <c r="M278" s="10">
        <f>15609.86+2374.04</f>
        <v>17983.9</v>
      </c>
      <c r="N278" s="267"/>
    </row>
    <row r="279" spans="1:14" ht="30" customHeight="1">
      <c r="A279" s="37">
        <v>138</v>
      </c>
      <c r="B279" s="40" t="s">
        <v>269</v>
      </c>
      <c r="C279" s="40" t="s">
        <v>270</v>
      </c>
      <c r="D279" s="40" t="s">
        <v>62</v>
      </c>
      <c r="E279" s="41" t="s">
        <v>34</v>
      </c>
      <c r="F279" s="69">
        <v>2</v>
      </c>
      <c r="G279" s="295">
        <v>748.8</v>
      </c>
      <c r="H279" s="40" t="s">
        <v>63</v>
      </c>
      <c r="I279" s="31"/>
      <c r="K279" s="74"/>
      <c r="L279" s="74"/>
      <c r="N279" s="74"/>
    </row>
    <row r="280" spans="1:14" ht="30" customHeight="1">
      <c r="A280" s="37">
        <v>139</v>
      </c>
      <c r="B280" s="38" t="s">
        <v>216</v>
      </c>
      <c r="C280" s="40" t="s">
        <v>217</v>
      </c>
      <c r="D280" s="40" t="s">
        <v>62</v>
      </c>
      <c r="E280" s="41" t="s">
        <v>34</v>
      </c>
      <c r="F280" s="69">
        <v>150</v>
      </c>
      <c r="G280" s="295">
        <v>2745</v>
      </c>
      <c r="H280" s="40" t="s">
        <v>63</v>
      </c>
      <c r="I280" s="31"/>
      <c r="K280" s="74"/>
      <c r="L280" s="74"/>
      <c r="N280" s="74"/>
    </row>
    <row r="281" spans="1:14" ht="30" customHeight="1">
      <c r="A281" s="37">
        <v>140</v>
      </c>
      <c r="B281" s="38" t="s">
        <v>64</v>
      </c>
      <c r="C281" s="40" t="s">
        <v>65</v>
      </c>
      <c r="D281" s="40" t="s">
        <v>62</v>
      </c>
      <c r="E281" s="41" t="s">
        <v>34</v>
      </c>
      <c r="F281" s="69">
        <v>1400</v>
      </c>
      <c r="G281" s="295">
        <v>23520</v>
      </c>
      <c r="H281" s="40" t="s">
        <v>63</v>
      </c>
      <c r="I281" s="31"/>
      <c r="K281" s="74"/>
      <c r="L281" s="74"/>
      <c r="N281" s="74"/>
    </row>
    <row r="282" spans="1:14" ht="30" customHeight="1">
      <c r="A282" s="37">
        <v>141</v>
      </c>
      <c r="B282" s="38" t="s">
        <v>529</v>
      </c>
      <c r="C282" s="40" t="s">
        <v>530</v>
      </c>
      <c r="D282" s="40" t="s">
        <v>62</v>
      </c>
      <c r="E282" s="41" t="s">
        <v>34</v>
      </c>
      <c r="F282" s="69">
        <v>49</v>
      </c>
      <c r="G282" s="295">
        <v>886.9</v>
      </c>
      <c r="H282" s="40" t="s">
        <v>63</v>
      </c>
      <c r="I282" s="31"/>
      <c r="K282" s="74"/>
      <c r="L282" s="74"/>
      <c r="N282" s="74"/>
    </row>
    <row r="283" spans="1:14" ht="30" customHeight="1">
      <c r="A283" s="37">
        <v>142</v>
      </c>
      <c r="B283" s="38" t="s">
        <v>71</v>
      </c>
      <c r="C283" s="71" t="s">
        <v>72</v>
      </c>
      <c r="D283" s="40" t="s">
        <v>62</v>
      </c>
      <c r="E283" s="41" t="s">
        <v>34</v>
      </c>
      <c r="F283" s="69">
        <v>120</v>
      </c>
      <c r="G283" s="295">
        <v>1836</v>
      </c>
      <c r="H283" s="40" t="s">
        <v>63</v>
      </c>
      <c r="I283" s="31"/>
      <c r="K283" s="74"/>
      <c r="L283" s="74"/>
      <c r="N283" s="74"/>
    </row>
    <row r="284" spans="1:14" ht="45" customHeight="1">
      <c r="A284" s="37">
        <v>143</v>
      </c>
      <c r="B284" s="38" t="s">
        <v>73</v>
      </c>
      <c r="C284" s="40" t="s">
        <v>74</v>
      </c>
      <c r="D284" s="40" t="s">
        <v>62</v>
      </c>
      <c r="E284" s="41" t="s">
        <v>34</v>
      </c>
      <c r="F284" s="69">
        <v>120</v>
      </c>
      <c r="G284" s="295">
        <v>2760</v>
      </c>
      <c r="H284" s="40" t="s">
        <v>63</v>
      </c>
      <c r="I284" s="31"/>
      <c r="K284" s="74"/>
      <c r="L284" s="74"/>
      <c r="N284" s="74"/>
    </row>
    <row r="285" spans="1:14" ht="30" customHeight="1">
      <c r="A285" s="37">
        <v>144</v>
      </c>
      <c r="B285" s="38" t="s">
        <v>75</v>
      </c>
      <c r="C285" s="40" t="s">
        <v>76</v>
      </c>
      <c r="D285" s="40" t="s">
        <v>62</v>
      </c>
      <c r="E285" s="41" t="s">
        <v>77</v>
      </c>
      <c r="F285" s="69">
        <v>20</v>
      </c>
      <c r="G285" s="295">
        <v>1524</v>
      </c>
      <c r="H285" s="40" t="s">
        <v>63</v>
      </c>
      <c r="I285" s="31"/>
      <c r="K285" s="74"/>
      <c r="L285" s="74"/>
      <c r="N285" s="74"/>
    </row>
    <row r="286" spans="1:14" ht="30" customHeight="1">
      <c r="A286" s="37">
        <v>145</v>
      </c>
      <c r="B286" s="38" t="s">
        <v>78</v>
      </c>
      <c r="C286" s="40" t="s">
        <v>79</v>
      </c>
      <c r="D286" s="40" t="s">
        <v>62</v>
      </c>
      <c r="E286" s="41" t="s">
        <v>34</v>
      </c>
      <c r="F286" s="69">
        <v>50</v>
      </c>
      <c r="G286" s="295">
        <v>15395</v>
      </c>
      <c r="H286" s="40" t="s">
        <v>63</v>
      </c>
      <c r="I286" s="31"/>
      <c r="K286" s="74"/>
      <c r="L286" s="74"/>
      <c r="N286" s="74"/>
    </row>
    <row r="287" spans="1:14" ht="45" customHeight="1">
      <c r="A287" s="37">
        <v>146</v>
      </c>
      <c r="B287" s="38" t="s">
        <v>80</v>
      </c>
      <c r="C287" s="40" t="s">
        <v>81</v>
      </c>
      <c r="D287" s="40" t="s">
        <v>62</v>
      </c>
      <c r="E287" s="41" t="s">
        <v>82</v>
      </c>
      <c r="F287" s="69">
        <v>90</v>
      </c>
      <c r="G287" s="295">
        <v>3582</v>
      </c>
      <c r="H287" s="40" t="s">
        <v>63</v>
      </c>
      <c r="I287" s="31"/>
      <c r="K287" s="74"/>
      <c r="L287" s="74"/>
      <c r="N287" s="74"/>
    </row>
    <row r="288" spans="1:14" ht="30" customHeight="1">
      <c r="A288" s="37">
        <v>147</v>
      </c>
      <c r="B288" s="38" t="s">
        <v>83</v>
      </c>
      <c r="C288" s="40" t="s">
        <v>72</v>
      </c>
      <c r="D288" s="40" t="s">
        <v>62</v>
      </c>
      <c r="E288" s="41" t="s">
        <v>34</v>
      </c>
      <c r="F288" s="69">
        <v>100</v>
      </c>
      <c r="G288" s="295">
        <v>2270</v>
      </c>
      <c r="H288" s="40" t="s">
        <v>63</v>
      </c>
      <c r="I288" s="31"/>
      <c r="K288" s="74"/>
      <c r="L288" s="74"/>
      <c r="N288" s="74"/>
    </row>
    <row r="289" spans="1:14" ht="30" customHeight="1">
      <c r="A289" s="37">
        <v>148</v>
      </c>
      <c r="B289" s="38" t="s">
        <v>220</v>
      </c>
      <c r="C289" s="40" t="s">
        <v>221</v>
      </c>
      <c r="D289" s="40" t="s">
        <v>62</v>
      </c>
      <c r="E289" s="41" t="s">
        <v>34</v>
      </c>
      <c r="F289" s="69">
        <v>150</v>
      </c>
      <c r="G289" s="295">
        <v>1965</v>
      </c>
      <c r="H289" s="40" t="s">
        <v>63</v>
      </c>
      <c r="I289" s="31"/>
      <c r="K289" s="74"/>
      <c r="L289" s="74"/>
      <c r="N289" s="74"/>
    </row>
    <row r="290" spans="1:14" ht="45" customHeight="1">
      <c r="A290" s="37">
        <v>149</v>
      </c>
      <c r="B290" s="38" t="s">
        <v>84</v>
      </c>
      <c r="C290" s="40" t="s">
        <v>85</v>
      </c>
      <c r="D290" s="40" t="s">
        <v>62</v>
      </c>
      <c r="E290" s="41" t="s">
        <v>34</v>
      </c>
      <c r="F290" s="69">
        <v>20.15</v>
      </c>
      <c r="G290" s="295">
        <v>2381.73</v>
      </c>
      <c r="H290" s="40" t="s">
        <v>63</v>
      </c>
      <c r="I290" s="31"/>
      <c r="K290" s="74"/>
      <c r="L290" s="74"/>
      <c r="N290" s="74"/>
    </row>
    <row r="291" spans="1:14" ht="30" customHeight="1">
      <c r="A291" s="37">
        <v>150</v>
      </c>
      <c r="B291" s="38" t="s">
        <v>665</v>
      </c>
      <c r="C291" s="40" t="s">
        <v>666</v>
      </c>
      <c r="D291" s="40" t="s">
        <v>62</v>
      </c>
      <c r="E291" s="41" t="s">
        <v>34</v>
      </c>
      <c r="F291" s="69">
        <v>279</v>
      </c>
      <c r="G291" s="295">
        <v>35656.2</v>
      </c>
      <c r="H291" s="40" t="s">
        <v>63</v>
      </c>
      <c r="I291" s="31"/>
      <c r="K291" s="74"/>
      <c r="L291" s="74"/>
      <c r="N291" s="74"/>
    </row>
    <row r="292" spans="1:14" ht="30" customHeight="1">
      <c r="A292" s="37">
        <v>151</v>
      </c>
      <c r="B292" s="38" t="s">
        <v>88</v>
      </c>
      <c r="C292" s="40" t="s">
        <v>85</v>
      </c>
      <c r="D292" s="40" t="s">
        <v>62</v>
      </c>
      <c r="E292" s="41" t="s">
        <v>34</v>
      </c>
      <c r="F292" s="69">
        <v>35</v>
      </c>
      <c r="G292" s="295">
        <v>4361</v>
      </c>
      <c r="H292" s="40" t="s">
        <v>63</v>
      </c>
      <c r="I292" s="31"/>
      <c r="K292" s="74"/>
      <c r="L292" s="74"/>
      <c r="N292" s="74"/>
    </row>
    <row r="293" spans="1:14" ht="30" customHeight="1">
      <c r="A293" s="37">
        <v>152</v>
      </c>
      <c r="B293" s="38" t="s">
        <v>89</v>
      </c>
      <c r="C293" s="40" t="s">
        <v>90</v>
      </c>
      <c r="D293" s="40" t="s">
        <v>62</v>
      </c>
      <c r="E293" s="41" t="s">
        <v>34</v>
      </c>
      <c r="F293" s="69">
        <v>80</v>
      </c>
      <c r="G293" s="295">
        <v>3960</v>
      </c>
      <c r="H293" s="40" t="s">
        <v>63</v>
      </c>
      <c r="I293" s="31"/>
      <c r="K293" s="74"/>
      <c r="L293" s="74"/>
      <c r="N293" s="74"/>
    </row>
    <row r="294" spans="1:14" ht="30" customHeight="1">
      <c r="A294" s="37">
        <v>153</v>
      </c>
      <c r="B294" s="38" t="s">
        <v>91</v>
      </c>
      <c r="C294" s="40" t="s">
        <v>92</v>
      </c>
      <c r="D294" s="40" t="s">
        <v>62</v>
      </c>
      <c r="E294" s="41" t="s">
        <v>34</v>
      </c>
      <c r="F294" s="69">
        <v>150</v>
      </c>
      <c r="G294" s="295">
        <v>25080</v>
      </c>
      <c r="H294" s="40" t="s">
        <v>63</v>
      </c>
      <c r="I294" s="31"/>
      <c r="K294" s="74"/>
      <c r="L294" s="74"/>
      <c r="N294" s="74"/>
    </row>
    <row r="295" spans="1:14" ht="30" customHeight="1">
      <c r="A295" s="37">
        <v>154</v>
      </c>
      <c r="B295" s="38" t="s">
        <v>274</v>
      </c>
      <c r="C295" s="40" t="s">
        <v>275</v>
      </c>
      <c r="D295" s="40" t="s">
        <v>62</v>
      </c>
      <c r="E295" s="41" t="s">
        <v>34</v>
      </c>
      <c r="F295" s="69">
        <v>150</v>
      </c>
      <c r="G295" s="295">
        <v>5850</v>
      </c>
      <c r="H295" s="40" t="s">
        <v>63</v>
      </c>
      <c r="I295" s="31"/>
      <c r="K295" s="74"/>
      <c r="L295" s="74"/>
      <c r="N295" s="74"/>
    </row>
    <row r="296" spans="1:14" ht="30" customHeight="1">
      <c r="A296" s="37">
        <v>155</v>
      </c>
      <c r="B296" s="38" t="s">
        <v>222</v>
      </c>
      <c r="C296" s="40" t="s">
        <v>223</v>
      </c>
      <c r="D296" s="40" t="s">
        <v>62</v>
      </c>
      <c r="E296" s="41" t="s">
        <v>34</v>
      </c>
      <c r="F296" s="69">
        <v>100</v>
      </c>
      <c r="G296" s="295">
        <v>1920</v>
      </c>
      <c r="H296" s="40" t="s">
        <v>63</v>
      </c>
      <c r="I296" s="31"/>
      <c r="K296" s="74"/>
      <c r="L296" s="74"/>
      <c r="N296" s="74"/>
    </row>
    <row r="297" spans="1:14" ht="30" customHeight="1">
      <c r="A297" s="37">
        <v>156</v>
      </c>
      <c r="B297" s="38" t="s">
        <v>93</v>
      </c>
      <c r="C297" s="40" t="s">
        <v>94</v>
      </c>
      <c r="D297" s="40" t="s">
        <v>62</v>
      </c>
      <c r="E297" s="41" t="s">
        <v>34</v>
      </c>
      <c r="F297" s="69">
        <v>47.88</v>
      </c>
      <c r="G297" s="295">
        <v>6224.4</v>
      </c>
      <c r="H297" s="40" t="s">
        <v>63</v>
      </c>
      <c r="I297" s="31"/>
      <c r="K297" s="74"/>
      <c r="L297" s="74"/>
      <c r="N297" s="74"/>
    </row>
    <row r="298" spans="1:14" ht="30" customHeight="1">
      <c r="A298" s="37">
        <v>157</v>
      </c>
      <c r="B298" s="38" t="s">
        <v>224</v>
      </c>
      <c r="C298" s="40" t="s">
        <v>225</v>
      </c>
      <c r="D298" s="40" t="s">
        <v>62</v>
      </c>
      <c r="E298" s="41" t="s">
        <v>34</v>
      </c>
      <c r="F298" s="69">
        <v>20.029</v>
      </c>
      <c r="G298" s="295">
        <v>254.37</v>
      </c>
      <c r="H298" s="40" t="s">
        <v>63</v>
      </c>
      <c r="I298" s="31"/>
      <c r="K298" s="74"/>
      <c r="L298" s="74"/>
      <c r="N298" s="74"/>
    </row>
    <row r="299" spans="1:14" ht="30" customHeight="1">
      <c r="A299" s="37">
        <v>158</v>
      </c>
      <c r="B299" s="40" t="s">
        <v>226</v>
      </c>
      <c r="C299" s="40" t="s">
        <v>227</v>
      </c>
      <c r="D299" s="40" t="s">
        <v>62</v>
      </c>
      <c r="E299" s="41" t="s">
        <v>34</v>
      </c>
      <c r="F299" s="69">
        <v>55</v>
      </c>
      <c r="G299" s="295">
        <v>7628.5</v>
      </c>
      <c r="H299" s="40" t="s">
        <v>63</v>
      </c>
      <c r="I299" s="31"/>
      <c r="K299" s="74"/>
      <c r="L299" s="74"/>
      <c r="N299" s="74"/>
    </row>
    <row r="300" spans="1:14" ht="30" customHeight="1">
      <c r="A300" s="37">
        <v>159</v>
      </c>
      <c r="B300" s="40" t="s">
        <v>276</v>
      </c>
      <c r="C300" s="40" t="s">
        <v>277</v>
      </c>
      <c r="D300" s="40" t="s">
        <v>62</v>
      </c>
      <c r="E300" s="41" t="s">
        <v>34</v>
      </c>
      <c r="F300" s="69">
        <v>20</v>
      </c>
      <c r="G300" s="295">
        <v>3792</v>
      </c>
      <c r="H300" s="40" t="s">
        <v>63</v>
      </c>
      <c r="I300" s="31"/>
      <c r="K300" s="74"/>
      <c r="L300" s="74"/>
      <c r="N300" s="74"/>
    </row>
    <row r="301" spans="1:14" ht="45" customHeight="1">
      <c r="A301" s="37">
        <v>160</v>
      </c>
      <c r="B301" s="38" t="s">
        <v>60</v>
      </c>
      <c r="C301" s="40" t="s">
        <v>61</v>
      </c>
      <c r="D301" s="40" t="s">
        <v>62</v>
      </c>
      <c r="E301" s="41" t="s">
        <v>34</v>
      </c>
      <c r="F301" s="69">
        <v>10</v>
      </c>
      <c r="G301" s="295">
        <v>436</v>
      </c>
      <c r="H301" s="40" t="s">
        <v>63</v>
      </c>
      <c r="I301" s="31"/>
      <c r="K301" s="74"/>
      <c r="L301" s="74"/>
      <c r="N301" s="74"/>
    </row>
    <row r="302" spans="1:14" ht="30" customHeight="1">
      <c r="A302" s="37">
        <v>161</v>
      </c>
      <c r="B302" s="40" t="s">
        <v>95</v>
      </c>
      <c r="C302" s="40" t="s">
        <v>96</v>
      </c>
      <c r="D302" s="40" t="s">
        <v>62</v>
      </c>
      <c r="E302" s="41" t="s">
        <v>34</v>
      </c>
      <c r="F302" s="69">
        <v>150</v>
      </c>
      <c r="G302" s="295">
        <v>31740</v>
      </c>
      <c r="H302" s="40" t="s">
        <v>63</v>
      </c>
      <c r="I302" s="31"/>
      <c r="K302" s="74"/>
      <c r="L302" s="74"/>
      <c r="N302" s="74"/>
    </row>
    <row r="303" spans="1:14" ht="30" customHeight="1">
      <c r="A303" s="37">
        <v>162</v>
      </c>
      <c r="B303" s="40" t="s">
        <v>667</v>
      </c>
      <c r="C303" s="40" t="s">
        <v>668</v>
      </c>
      <c r="D303" s="40" t="s">
        <v>62</v>
      </c>
      <c r="E303" s="41" t="s">
        <v>34</v>
      </c>
      <c r="F303" s="69">
        <v>135</v>
      </c>
      <c r="G303" s="295">
        <v>31050</v>
      </c>
      <c r="H303" s="40" t="s">
        <v>63</v>
      </c>
      <c r="I303" s="31"/>
      <c r="K303" s="74"/>
      <c r="L303" s="74"/>
      <c r="N303" s="74"/>
    </row>
    <row r="304" spans="1:14" ht="45" customHeight="1">
      <c r="A304" s="37">
        <v>163</v>
      </c>
      <c r="B304" s="54" t="s">
        <v>98</v>
      </c>
      <c r="C304" s="40" t="s">
        <v>61</v>
      </c>
      <c r="D304" s="40" t="s">
        <v>62</v>
      </c>
      <c r="E304" s="41" t="s">
        <v>25</v>
      </c>
      <c r="F304" s="69">
        <v>1900</v>
      </c>
      <c r="G304" s="295">
        <f>24035+67.8+5.6-17.5</f>
        <v>24090.899999999998</v>
      </c>
      <c r="H304" s="40" t="s">
        <v>63</v>
      </c>
      <c r="I304" s="31"/>
      <c r="K304" s="74"/>
      <c r="L304" s="74"/>
      <c r="N304" s="74"/>
    </row>
    <row r="305" spans="1:14" ht="30" customHeight="1">
      <c r="A305" s="37">
        <v>164</v>
      </c>
      <c r="B305" s="40" t="s">
        <v>99</v>
      </c>
      <c r="C305" s="40" t="s">
        <v>100</v>
      </c>
      <c r="D305" s="40" t="s">
        <v>62</v>
      </c>
      <c r="E305" s="41" t="s">
        <v>34</v>
      </c>
      <c r="F305" s="69">
        <v>150</v>
      </c>
      <c r="G305" s="295">
        <v>45930</v>
      </c>
      <c r="H305" s="40" t="s">
        <v>63</v>
      </c>
      <c r="I305" s="31"/>
      <c r="K305" s="74"/>
      <c r="L305" s="74"/>
      <c r="N305" s="74"/>
    </row>
    <row r="306" spans="1:14" ht="30" customHeight="1">
      <c r="A306" s="37">
        <v>165</v>
      </c>
      <c r="B306" s="40" t="s">
        <v>228</v>
      </c>
      <c r="C306" s="40" t="s">
        <v>229</v>
      </c>
      <c r="D306" s="40" t="s">
        <v>62</v>
      </c>
      <c r="E306" s="41" t="s">
        <v>34</v>
      </c>
      <c r="F306" s="69">
        <v>150</v>
      </c>
      <c r="G306" s="295">
        <v>6135</v>
      </c>
      <c r="H306" s="40" t="s">
        <v>63</v>
      </c>
      <c r="I306" s="31"/>
      <c r="K306" s="74"/>
      <c r="L306" s="74"/>
      <c r="N306" s="74"/>
    </row>
    <row r="307" spans="1:14" ht="30" customHeight="1">
      <c r="A307" s="37">
        <v>166</v>
      </c>
      <c r="B307" s="40" t="s">
        <v>103</v>
      </c>
      <c r="C307" s="40" t="s">
        <v>104</v>
      </c>
      <c r="D307" s="40" t="s">
        <v>62</v>
      </c>
      <c r="E307" s="41" t="s">
        <v>25</v>
      </c>
      <c r="F307" s="69">
        <v>4000</v>
      </c>
      <c r="G307" s="295">
        <v>18560</v>
      </c>
      <c r="H307" s="40" t="s">
        <v>63</v>
      </c>
      <c r="I307" s="31"/>
      <c r="K307" s="74"/>
      <c r="L307" s="74"/>
      <c r="N307" s="74"/>
    </row>
    <row r="308" spans="1:14" ht="30" customHeight="1">
      <c r="A308" s="37">
        <v>167</v>
      </c>
      <c r="B308" s="40" t="s">
        <v>230</v>
      </c>
      <c r="C308" s="40" t="s">
        <v>231</v>
      </c>
      <c r="D308" s="40" t="s">
        <v>62</v>
      </c>
      <c r="E308" s="41" t="s">
        <v>77</v>
      </c>
      <c r="F308" s="69">
        <v>30</v>
      </c>
      <c r="G308" s="295">
        <v>1803</v>
      </c>
      <c r="H308" s="40" t="s">
        <v>63</v>
      </c>
      <c r="I308" s="31"/>
      <c r="K308" s="74"/>
      <c r="L308" s="74"/>
      <c r="N308" s="74"/>
    </row>
    <row r="309" spans="1:14" ht="30" customHeight="1">
      <c r="A309" s="37">
        <v>168</v>
      </c>
      <c r="B309" s="38" t="s">
        <v>232</v>
      </c>
      <c r="C309" s="40" t="s">
        <v>85</v>
      </c>
      <c r="D309" s="40" t="s">
        <v>62</v>
      </c>
      <c r="E309" s="41" t="s">
        <v>34</v>
      </c>
      <c r="F309" s="69">
        <v>21</v>
      </c>
      <c r="G309" s="295">
        <v>2482.2</v>
      </c>
      <c r="H309" s="40" t="s">
        <v>63</v>
      </c>
      <c r="I309" s="31"/>
      <c r="K309" s="74"/>
      <c r="L309" s="74"/>
      <c r="N309" s="74"/>
    </row>
    <row r="310" spans="1:14" ht="30" customHeight="1">
      <c r="A310" s="37">
        <v>169</v>
      </c>
      <c r="B310" s="38" t="s">
        <v>105</v>
      </c>
      <c r="C310" s="40" t="s">
        <v>70</v>
      </c>
      <c r="D310" s="40" t="s">
        <v>62</v>
      </c>
      <c r="E310" s="41" t="s">
        <v>34</v>
      </c>
      <c r="F310" s="69">
        <v>50</v>
      </c>
      <c r="G310" s="295">
        <v>1645</v>
      </c>
      <c r="H310" s="40" t="s">
        <v>63</v>
      </c>
      <c r="I310" s="31"/>
      <c r="K310" s="74"/>
      <c r="L310" s="74"/>
      <c r="N310" s="74"/>
    </row>
    <row r="311" spans="1:14" ht="30" customHeight="1">
      <c r="A311" s="37">
        <v>170</v>
      </c>
      <c r="B311" s="38" t="s">
        <v>268</v>
      </c>
      <c r="C311" s="40" t="s">
        <v>70</v>
      </c>
      <c r="D311" s="40" t="s">
        <v>62</v>
      </c>
      <c r="E311" s="41" t="s">
        <v>34</v>
      </c>
      <c r="F311" s="69">
        <v>10</v>
      </c>
      <c r="G311" s="295">
        <v>207</v>
      </c>
      <c r="H311" s="40" t="s">
        <v>63</v>
      </c>
      <c r="I311" s="31"/>
      <c r="K311" s="74"/>
      <c r="L311" s="74"/>
      <c r="N311" s="74"/>
    </row>
    <row r="312" spans="1:14" s="10" customFormat="1" ht="30" customHeight="1">
      <c r="A312" s="296"/>
      <c r="B312" s="260" t="s">
        <v>106</v>
      </c>
      <c r="C312" s="261"/>
      <c r="D312" s="262"/>
      <c r="E312" s="263"/>
      <c r="F312" s="263"/>
      <c r="G312" s="297">
        <f>SUM(G279:G311)</f>
        <v>318420</v>
      </c>
      <c r="H312" s="297"/>
      <c r="I312" s="31"/>
      <c r="K312" s="267"/>
      <c r="L312" s="267"/>
      <c r="N312" s="267"/>
    </row>
    <row r="313" spans="1:12" ht="30" customHeight="1">
      <c r="A313" s="37">
        <v>171</v>
      </c>
      <c r="B313" s="38" t="s">
        <v>235</v>
      </c>
      <c r="C313" s="40" t="s">
        <v>116</v>
      </c>
      <c r="D313" s="40" t="s">
        <v>109</v>
      </c>
      <c r="E313" s="41" t="s">
        <v>113</v>
      </c>
      <c r="F313" s="50" t="s">
        <v>117</v>
      </c>
      <c r="G313" s="295">
        <v>1021.5</v>
      </c>
      <c r="H313" s="40" t="s">
        <v>63</v>
      </c>
      <c r="I313" s="31"/>
      <c r="K313" s="12">
        <f>308+10</f>
        <v>318</v>
      </c>
      <c r="L313" s="74">
        <f aca="true" t="shared" si="6" ref="L313:L322">G313-K313</f>
        <v>703.5</v>
      </c>
    </row>
    <row r="314" spans="1:12" ht="30" customHeight="1">
      <c r="A314" s="37">
        <v>172</v>
      </c>
      <c r="B314" s="38" t="s">
        <v>433</v>
      </c>
      <c r="C314" s="40" t="s">
        <v>234</v>
      </c>
      <c r="D314" s="40" t="s">
        <v>109</v>
      </c>
      <c r="E314" s="41" t="s">
        <v>113</v>
      </c>
      <c r="F314" s="41" t="s">
        <v>117</v>
      </c>
      <c r="G314" s="295">
        <v>900</v>
      </c>
      <c r="H314" s="40" t="s">
        <v>63</v>
      </c>
      <c r="I314" s="31"/>
      <c r="K314" s="12">
        <f>260+40</f>
        <v>300</v>
      </c>
      <c r="L314" s="74">
        <f t="shared" si="6"/>
        <v>600</v>
      </c>
    </row>
    <row r="315" spans="1:12" ht="30" customHeight="1">
      <c r="A315" s="37">
        <v>173</v>
      </c>
      <c r="B315" s="38" t="s">
        <v>130</v>
      </c>
      <c r="C315" s="40" t="s">
        <v>131</v>
      </c>
      <c r="D315" s="40" t="s">
        <v>109</v>
      </c>
      <c r="E315" s="41" t="s">
        <v>25</v>
      </c>
      <c r="F315" s="50">
        <v>6</v>
      </c>
      <c r="G315" s="295">
        <v>1512</v>
      </c>
      <c r="H315" s="40" t="s">
        <v>132</v>
      </c>
      <c r="I315" s="31"/>
      <c r="L315" s="74">
        <f t="shared" si="6"/>
        <v>1512</v>
      </c>
    </row>
    <row r="316" spans="1:12" s="6" customFormat="1" ht="29.25" customHeight="1">
      <c r="A316" s="37">
        <v>174</v>
      </c>
      <c r="B316" s="160" t="s">
        <v>124</v>
      </c>
      <c r="C316" s="161" t="s">
        <v>125</v>
      </c>
      <c r="D316" s="133" t="s">
        <v>109</v>
      </c>
      <c r="E316" s="41" t="s">
        <v>126</v>
      </c>
      <c r="F316" s="41">
        <v>694</v>
      </c>
      <c r="G316" s="42">
        <v>2054.24</v>
      </c>
      <c r="H316" s="40" t="s">
        <v>19</v>
      </c>
      <c r="I316" s="31"/>
      <c r="L316" s="166">
        <f t="shared" si="6"/>
        <v>2054.24</v>
      </c>
    </row>
    <row r="317" spans="1:12" s="6" customFormat="1" ht="29.25" customHeight="1">
      <c r="A317" s="37">
        <v>175</v>
      </c>
      <c r="B317" s="160" t="s">
        <v>127</v>
      </c>
      <c r="C317" s="161" t="s">
        <v>125</v>
      </c>
      <c r="D317" s="133" t="s">
        <v>109</v>
      </c>
      <c r="E317" s="41" t="s">
        <v>126</v>
      </c>
      <c r="F317" s="41">
        <v>1000</v>
      </c>
      <c r="G317" s="42">
        <v>2580</v>
      </c>
      <c r="H317" s="40" t="s">
        <v>19</v>
      </c>
      <c r="I317" s="31"/>
      <c r="L317" s="166">
        <f t="shared" si="6"/>
        <v>2580</v>
      </c>
    </row>
    <row r="318" spans="1:12" ht="45" customHeight="1">
      <c r="A318" s="37">
        <v>176</v>
      </c>
      <c r="B318" s="98" t="s">
        <v>318</v>
      </c>
      <c r="C318" s="99" t="s">
        <v>108</v>
      </c>
      <c r="D318" s="99" t="s">
        <v>109</v>
      </c>
      <c r="E318" s="162" t="s">
        <v>110</v>
      </c>
      <c r="F318" s="50">
        <v>28</v>
      </c>
      <c r="G318" s="295">
        <v>2643.2</v>
      </c>
      <c r="H318" s="40" t="s">
        <v>63</v>
      </c>
      <c r="I318" s="31"/>
      <c r="K318" s="12">
        <v>944</v>
      </c>
      <c r="L318" s="74">
        <f t="shared" si="6"/>
        <v>1699.1999999999998</v>
      </c>
    </row>
    <row r="319" spans="1:12" ht="45" customHeight="1">
      <c r="A319" s="37">
        <v>177</v>
      </c>
      <c r="B319" s="98" t="s">
        <v>531</v>
      </c>
      <c r="C319" s="99" t="s">
        <v>532</v>
      </c>
      <c r="D319" s="99" t="s">
        <v>109</v>
      </c>
      <c r="E319" s="162" t="s">
        <v>113</v>
      </c>
      <c r="F319" s="162">
        <v>2</v>
      </c>
      <c r="G319" s="311">
        <v>1000</v>
      </c>
      <c r="H319" s="40" t="s">
        <v>19</v>
      </c>
      <c r="I319" s="31"/>
      <c r="L319" s="74"/>
    </row>
    <row r="320" spans="1:12" ht="30" customHeight="1">
      <c r="A320" s="37">
        <v>178</v>
      </c>
      <c r="B320" s="98" t="s">
        <v>281</v>
      </c>
      <c r="C320" s="99" t="s">
        <v>326</v>
      </c>
      <c r="D320" s="40" t="s">
        <v>109</v>
      </c>
      <c r="E320" s="41" t="s">
        <v>113</v>
      </c>
      <c r="F320" s="41" t="s">
        <v>117</v>
      </c>
      <c r="G320" s="295">
        <v>909</v>
      </c>
      <c r="H320" s="40" t="s">
        <v>63</v>
      </c>
      <c r="I320" s="31"/>
      <c r="K320" s="12">
        <f>470.96</f>
        <v>470.96</v>
      </c>
      <c r="L320" s="74">
        <f t="shared" si="6"/>
        <v>438.04</v>
      </c>
    </row>
    <row r="321" spans="1:12" ht="45" customHeight="1">
      <c r="A321" s="37">
        <v>179</v>
      </c>
      <c r="B321" s="98" t="s">
        <v>295</v>
      </c>
      <c r="C321" s="99" t="s">
        <v>112</v>
      </c>
      <c r="D321" s="99" t="s">
        <v>109</v>
      </c>
      <c r="E321" s="162" t="s">
        <v>113</v>
      </c>
      <c r="F321" s="50" t="s">
        <v>533</v>
      </c>
      <c r="G321" s="295">
        <v>9000</v>
      </c>
      <c r="H321" s="40" t="s">
        <v>63</v>
      </c>
      <c r="I321" s="31"/>
      <c r="K321" s="12">
        <v>2000</v>
      </c>
      <c r="L321" s="74">
        <f t="shared" si="6"/>
        <v>7000</v>
      </c>
    </row>
    <row r="322" spans="1:12" ht="45" customHeight="1">
      <c r="A322" s="37">
        <v>180</v>
      </c>
      <c r="B322" s="38" t="s">
        <v>236</v>
      </c>
      <c r="C322" s="40" t="s">
        <v>119</v>
      </c>
      <c r="D322" s="40" t="s">
        <v>109</v>
      </c>
      <c r="E322" s="41" t="s">
        <v>120</v>
      </c>
      <c r="F322" s="41" t="s">
        <v>121</v>
      </c>
      <c r="G322" s="295">
        <v>11091.06</v>
      </c>
      <c r="H322" s="40" t="s">
        <v>63</v>
      </c>
      <c r="I322" s="31"/>
      <c r="K322" s="12">
        <f>3496.02</f>
        <v>3496.02</v>
      </c>
      <c r="L322" s="74">
        <f t="shared" si="6"/>
        <v>7595.039999999999</v>
      </c>
    </row>
    <row r="323" spans="1:9" s="10" customFormat="1" ht="30" customHeight="1">
      <c r="A323" s="296"/>
      <c r="B323" s="260" t="s">
        <v>136</v>
      </c>
      <c r="C323" s="261"/>
      <c r="D323" s="262"/>
      <c r="E323" s="263"/>
      <c r="F323" s="263"/>
      <c r="G323" s="297">
        <f>SUM(G313:G322)</f>
        <v>32711</v>
      </c>
      <c r="H323" s="312"/>
      <c r="I323" s="31"/>
    </row>
    <row r="324" spans="1:13" ht="29.25" customHeight="1">
      <c r="A324" s="37">
        <v>181</v>
      </c>
      <c r="B324" s="38" t="s">
        <v>137</v>
      </c>
      <c r="C324" s="52" t="s">
        <v>138</v>
      </c>
      <c r="D324" s="40" t="s">
        <v>139</v>
      </c>
      <c r="E324" s="41" t="s">
        <v>140</v>
      </c>
      <c r="F324" s="53">
        <f>G324/2878.55</f>
        <v>157.7374025116812</v>
      </c>
      <c r="G324" s="295">
        <v>454055</v>
      </c>
      <c r="H324" s="40" t="s">
        <v>63</v>
      </c>
      <c r="I324" s="31"/>
      <c r="L324" s="74">
        <f>F324-J324</f>
        <v>157.7374025116812</v>
      </c>
      <c r="M324" s="74">
        <f>G324-K324</f>
        <v>454055</v>
      </c>
    </row>
    <row r="325" spans="1:9" s="10" customFormat="1" ht="30" customHeight="1">
      <c r="A325" s="296"/>
      <c r="B325" s="260" t="s">
        <v>141</v>
      </c>
      <c r="C325" s="261"/>
      <c r="D325" s="262"/>
      <c r="E325" s="263"/>
      <c r="F325" s="263"/>
      <c r="G325" s="297">
        <f>SUM(G324:G324)</f>
        <v>454055</v>
      </c>
      <c r="H325" s="265"/>
      <c r="I325" s="31"/>
    </row>
    <row r="326" spans="1:13" ht="30" customHeight="1">
      <c r="A326" s="37">
        <v>182</v>
      </c>
      <c r="B326" s="38" t="s">
        <v>485</v>
      </c>
      <c r="C326" s="54" t="s">
        <v>245</v>
      </c>
      <c r="D326" s="40" t="s">
        <v>246</v>
      </c>
      <c r="E326" s="41" t="s">
        <v>110</v>
      </c>
      <c r="F326" s="53">
        <v>385</v>
      </c>
      <c r="G326" s="295">
        <v>4896.57</v>
      </c>
      <c r="H326" s="40" t="s">
        <v>63</v>
      </c>
      <c r="I326" s="31"/>
      <c r="L326" s="74">
        <f>F326-J326</f>
        <v>385</v>
      </c>
      <c r="M326" s="74">
        <f>G326-K326</f>
        <v>4896.57</v>
      </c>
    </row>
    <row r="327" spans="1:13" ht="30" customHeight="1">
      <c r="A327" s="37">
        <v>183</v>
      </c>
      <c r="B327" s="38" t="s">
        <v>517</v>
      </c>
      <c r="C327" s="55" t="s">
        <v>518</v>
      </c>
      <c r="D327" s="40" t="s">
        <v>246</v>
      </c>
      <c r="E327" s="41" t="s">
        <v>110</v>
      </c>
      <c r="F327" s="53">
        <v>385</v>
      </c>
      <c r="G327" s="295">
        <v>5258.43</v>
      </c>
      <c r="H327" s="40" t="s">
        <v>63</v>
      </c>
      <c r="I327" s="31"/>
      <c r="L327" s="74">
        <f>F327-J327</f>
        <v>385</v>
      </c>
      <c r="M327" s="74">
        <f>G327-K327</f>
        <v>5258.43</v>
      </c>
    </row>
    <row r="328" spans="1:9" s="10" customFormat="1" ht="30" customHeight="1">
      <c r="A328" s="296"/>
      <c r="B328" s="260" t="s">
        <v>247</v>
      </c>
      <c r="C328" s="261"/>
      <c r="D328" s="262"/>
      <c r="E328" s="263"/>
      <c r="F328" s="263"/>
      <c r="G328" s="297">
        <f>SUM(G326:G327)</f>
        <v>10155</v>
      </c>
      <c r="H328" s="265"/>
      <c r="I328" s="31"/>
    </row>
    <row r="329" spans="1:13" ht="29.25" customHeight="1">
      <c r="A329" s="37">
        <v>184</v>
      </c>
      <c r="B329" s="38" t="s">
        <v>142</v>
      </c>
      <c r="C329" s="54" t="s">
        <v>143</v>
      </c>
      <c r="D329" s="40" t="s">
        <v>144</v>
      </c>
      <c r="E329" s="41" t="s">
        <v>145</v>
      </c>
      <c r="F329" s="56">
        <f>G329/4.14243</f>
        <v>20782.728977918756</v>
      </c>
      <c r="G329" s="295">
        <v>86091</v>
      </c>
      <c r="H329" s="40" t="s">
        <v>63</v>
      </c>
      <c r="I329" s="31"/>
      <c r="K329" s="12">
        <f>38684.62+6915.38</f>
        <v>45600</v>
      </c>
      <c r="L329" s="74">
        <f>F329-J329</f>
        <v>20782.728977918756</v>
      </c>
      <c r="M329" s="74">
        <f>G329-K329</f>
        <v>40491</v>
      </c>
    </row>
    <row r="330" spans="1:9" s="10" customFormat="1" ht="30" customHeight="1">
      <c r="A330" s="296"/>
      <c r="B330" s="260" t="s">
        <v>146</v>
      </c>
      <c r="C330" s="261"/>
      <c r="D330" s="262"/>
      <c r="E330" s="263"/>
      <c r="F330" s="263"/>
      <c r="G330" s="297">
        <f>G329</f>
        <v>86091</v>
      </c>
      <c r="H330" s="265"/>
      <c r="I330" s="31"/>
    </row>
    <row r="331" spans="1:9" ht="45" customHeight="1">
      <c r="A331" s="37">
        <v>185</v>
      </c>
      <c r="B331" s="38" t="s">
        <v>669</v>
      </c>
      <c r="C331" s="54" t="s">
        <v>535</v>
      </c>
      <c r="D331" s="40" t="s">
        <v>149</v>
      </c>
      <c r="E331" s="41" t="s">
        <v>25</v>
      </c>
      <c r="F331" s="56">
        <v>1</v>
      </c>
      <c r="G331" s="295">
        <v>23500</v>
      </c>
      <c r="H331" s="40" t="s">
        <v>63</v>
      </c>
      <c r="I331" s="31"/>
    </row>
    <row r="332" spans="1:9" s="10" customFormat="1" ht="30" customHeight="1">
      <c r="A332" s="296"/>
      <c r="B332" s="260" t="s">
        <v>150</v>
      </c>
      <c r="C332" s="261"/>
      <c r="D332" s="262"/>
      <c r="E332" s="262"/>
      <c r="F332" s="262"/>
      <c r="G332" s="297">
        <f>G331</f>
        <v>23500</v>
      </c>
      <c r="H332" s="265"/>
      <c r="I332" s="31"/>
    </row>
    <row r="333" spans="1:9" ht="22.5" customHeight="1">
      <c r="A333" s="102"/>
      <c r="B333" s="103" t="s">
        <v>151</v>
      </c>
      <c r="C333" s="103"/>
      <c r="D333" s="103"/>
      <c r="E333" s="103"/>
      <c r="F333" s="103"/>
      <c r="G333" s="303"/>
      <c r="H333" s="105"/>
      <c r="I333" s="141"/>
    </row>
    <row r="334" spans="1:9" ht="22.5" customHeight="1">
      <c r="A334" s="19"/>
      <c r="B334" s="106" t="s">
        <v>152</v>
      </c>
      <c r="C334" s="107"/>
      <c r="D334" s="108" t="s">
        <v>153</v>
      </c>
      <c r="E334" s="109"/>
      <c r="F334" s="109"/>
      <c r="G334" s="304"/>
      <c r="H334" s="8"/>
      <c r="I334" s="141"/>
    </row>
    <row r="335" spans="1:9" ht="22.5" customHeight="1">
      <c r="A335" s="19"/>
      <c r="B335" s="111"/>
      <c r="C335" s="9"/>
      <c r="D335" s="112" t="s">
        <v>154</v>
      </c>
      <c r="E335" s="113" t="s">
        <v>155</v>
      </c>
      <c r="F335" s="114"/>
      <c r="G335" s="304"/>
      <c r="H335" s="8"/>
      <c r="I335" s="141"/>
    </row>
    <row r="336" spans="1:9" ht="22.5" customHeight="1">
      <c r="A336" s="19"/>
      <c r="B336" s="115" t="s">
        <v>156</v>
      </c>
      <c r="C336" s="116"/>
      <c r="D336" s="108" t="s">
        <v>157</v>
      </c>
      <c r="E336" s="109"/>
      <c r="F336" s="109"/>
      <c r="G336" s="304"/>
      <c r="H336" s="8"/>
      <c r="I336" s="141"/>
    </row>
    <row r="337" spans="1:9" ht="22.5" customHeight="1">
      <c r="A337" s="19"/>
      <c r="B337" s="111"/>
      <c r="C337" s="9"/>
      <c r="D337" s="112" t="s">
        <v>154</v>
      </c>
      <c r="E337" s="113"/>
      <c r="F337" s="114"/>
      <c r="G337" s="304"/>
      <c r="H337" s="8"/>
      <c r="I337" s="141"/>
    </row>
    <row r="338" spans="1:9" ht="22.5" customHeight="1">
      <c r="A338" s="19"/>
      <c r="B338" s="115" t="s">
        <v>158</v>
      </c>
      <c r="C338" s="9"/>
      <c r="D338" s="9"/>
      <c r="E338" s="9"/>
      <c r="F338" s="9"/>
      <c r="G338" s="304"/>
      <c r="H338" s="8"/>
      <c r="I338" s="141"/>
    </row>
    <row r="339" spans="1:9" s="2" customFormat="1" ht="30" customHeight="1">
      <c r="A339" s="169"/>
      <c r="B339" s="305" t="s">
        <v>159</v>
      </c>
      <c r="C339" s="116"/>
      <c r="D339" s="306" t="s">
        <v>160</v>
      </c>
      <c r="E339" s="306"/>
      <c r="F339" s="306"/>
      <c r="G339" s="307"/>
      <c r="H339" s="171"/>
      <c r="I339" s="191"/>
    </row>
    <row r="340" spans="1:9" ht="22.5" customHeight="1">
      <c r="A340" s="19"/>
      <c r="B340" s="119" t="s">
        <v>486</v>
      </c>
      <c r="C340" s="119"/>
      <c r="D340" s="119"/>
      <c r="E340" s="9"/>
      <c r="F340" s="9"/>
      <c r="G340" s="304"/>
      <c r="H340" s="8"/>
      <c r="I340" s="141"/>
    </row>
    <row r="341" spans="1:9" ht="67.5" customHeight="1">
      <c r="A341" s="19"/>
      <c r="B341" s="8" t="s">
        <v>0</v>
      </c>
      <c r="C341" s="20"/>
      <c r="D341" s="21"/>
      <c r="E341" s="22"/>
      <c r="F341" s="23" t="s">
        <v>1</v>
      </c>
      <c r="G341" s="23"/>
      <c r="H341" s="21"/>
      <c r="I341" s="70"/>
    </row>
    <row r="342" spans="1:9" ht="45" customHeight="1">
      <c r="A342" s="172" t="s">
        <v>487</v>
      </c>
      <c r="B342" s="172"/>
      <c r="C342" s="172"/>
      <c r="D342" s="172"/>
      <c r="E342" s="172"/>
      <c r="F342" s="172"/>
      <c r="G342" s="172"/>
      <c r="H342" s="172"/>
      <c r="I342" s="172"/>
    </row>
    <row r="343" spans="1:9" s="7" customFormat="1" ht="29.25" customHeight="1" hidden="1">
      <c r="A343" s="35" t="s">
        <v>670</v>
      </c>
      <c r="B343" s="173"/>
      <c r="C343" s="173"/>
      <c r="D343" s="173"/>
      <c r="E343" s="173"/>
      <c r="F343" s="173"/>
      <c r="G343" s="173"/>
      <c r="H343" s="173"/>
      <c r="I343" s="173"/>
    </row>
    <row r="344" spans="3:9" ht="15" customHeight="1">
      <c r="C344" s="124"/>
      <c r="D344" s="125" t="s">
        <v>4</v>
      </c>
      <c r="E344" s="124"/>
      <c r="F344" s="124"/>
      <c r="G344" s="3"/>
      <c r="H344" s="16"/>
      <c r="I344" s="16"/>
    </row>
    <row r="345" ht="15" customHeight="1"/>
    <row r="346" spans="1:11" ht="15.75" customHeight="1">
      <c r="A346" s="26" t="s">
        <v>5</v>
      </c>
      <c r="B346" s="27" t="s">
        <v>6</v>
      </c>
      <c r="C346" s="28" t="s">
        <v>7</v>
      </c>
      <c r="D346" s="28" t="s">
        <v>249</v>
      </c>
      <c r="E346" s="28" t="s">
        <v>9</v>
      </c>
      <c r="F346" s="28" t="s">
        <v>10</v>
      </c>
      <c r="G346" s="28" t="s">
        <v>250</v>
      </c>
      <c r="H346" s="28" t="s">
        <v>251</v>
      </c>
      <c r="I346" s="28" t="s">
        <v>13</v>
      </c>
      <c r="J346" s="71"/>
      <c r="K346" s="71"/>
    </row>
    <row r="347" spans="1:9" ht="31.5" customHeight="1">
      <c r="A347" s="29"/>
      <c r="B347" s="30"/>
      <c r="C347" s="31"/>
      <c r="D347" s="31"/>
      <c r="E347" s="31"/>
      <c r="F347" s="31"/>
      <c r="G347" s="31"/>
      <c r="H347" s="31"/>
      <c r="I347" s="31"/>
    </row>
    <row r="348" spans="1:9" ht="37.5" customHeight="1">
      <c r="A348" s="32"/>
      <c r="B348" s="33"/>
      <c r="C348" s="34"/>
      <c r="D348" s="34"/>
      <c r="E348" s="34"/>
      <c r="F348" s="34"/>
      <c r="G348" s="34"/>
      <c r="H348" s="34"/>
      <c r="I348" s="34"/>
    </row>
    <row r="349" spans="1:9" ht="20.25" customHeight="1">
      <c r="A349" s="32">
        <v>1</v>
      </c>
      <c r="B349" s="33">
        <v>2</v>
      </c>
      <c r="C349" s="34">
        <v>3</v>
      </c>
      <c r="D349" s="34">
        <v>4</v>
      </c>
      <c r="E349" s="34">
        <v>5</v>
      </c>
      <c r="F349" s="34">
        <v>6</v>
      </c>
      <c r="G349" s="34">
        <v>7</v>
      </c>
      <c r="H349" s="34">
        <v>8</v>
      </c>
      <c r="I349" s="72">
        <v>9</v>
      </c>
    </row>
    <row r="350" spans="1:14" ht="30" customHeight="1">
      <c r="A350" s="37">
        <v>186</v>
      </c>
      <c r="B350" s="38" t="s">
        <v>15</v>
      </c>
      <c r="C350" s="39" t="s">
        <v>16</v>
      </c>
      <c r="D350" s="40" t="s">
        <v>17</v>
      </c>
      <c r="E350" s="41" t="s">
        <v>18</v>
      </c>
      <c r="F350" s="41">
        <v>18</v>
      </c>
      <c r="G350" s="295">
        <v>3780</v>
      </c>
      <c r="H350" s="40" t="s">
        <v>63</v>
      </c>
      <c r="I350" s="73" t="s">
        <v>253</v>
      </c>
      <c r="L350" s="74">
        <f>G350-K350</f>
        <v>3780</v>
      </c>
      <c r="M350" s="12">
        <f>199-125</f>
        <v>74</v>
      </c>
      <c r="N350" s="12">
        <f>27223.2-17100</f>
        <v>10123.2</v>
      </c>
    </row>
    <row r="351" spans="1:12" ht="30" customHeight="1">
      <c r="A351" s="37">
        <v>187</v>
      </c>
      <c r="B351" s="94" t="s">
        <v>488</v>
      </c>
      <c r="C351" s="43" t="s">
        <v>24</v>
      </c>
      <c r="D351" s="40" t="s">
        <v>17</v>
      </c>
      <c r="E351" s="41" t="s">
        <v>25</v>
      </c>
      <c r="F351" s="41">
        <v>3</v>
      </c>
      <c r="G351" s="295">
        <v>369.09</v>
      </c>
      <c r="H351" s="40" t="s">
        <v>63</v>
      </c>
      <c r="I351" s="100"/>
      <c r="L351" s="74">
        <f>G351-K351</f>
        <v>369.09</v>
      </c>
    </row>
    <row r="352" spans="1:12" ht="29.25" customHeight="1">
      <c r="A352" s="37">
        <v>188</v>
      </c>
      <c r="B352" s="94" t="s">
        <v>23</v>
      </c>
      <c r="C352" s="43" t="s">
        <v>24</v>
      </c>
      <c r="D352" s="40" t="s">
        <v>17</v>
      </c>
      <c r="E352" s="41" t="s">
        <v>25</v>
      </c>
      <c r="F352" s="41">
        <v>3</v>
      </c>
      <c r="G352" s="295">
        <v>517.92</v>
      </c>
      <c r="H352" s="40" t="s">
        <v>63</v>
      </c>
      <c r="I352" s="100"/>
      <c r="L352" s="74"/>
    </row>
    <row r="353" spans="1:12" ht="30" customHeight="1">
      <c r="A353" s="37">
        <v>189</v>
      </c>
      <c r="B353" s="88" t="s">
        <v>28</v>
      </c>
      <c r="C353" s="43" t="s">
        <v>27</v>
      </c>
      <c r="D353" s="40" t="s">
        <v>17</v>
      </c>
      <c r="E353" s="41" t="s">
        <v>25</v>
      </c>
      <c r="F353" s="41">
        <v>5</v>
      </c>
      <c r="G353" s="295">
        <v>295</v>
      </c>
      <c r="H353" s="40" t="s">
        <v>63</v>
      </c>
      <c r="I353" s="100"/>
      <c r="L353" s="74">
        <f>G353-K353</f>
        <v>295</v>
      </c>
    </row>
    <row r="354" spans="1:12" ht="29.25" customHeight="1">
      <c r="A354" s="37">
        <v>190</v>
      </c>
      <c r="B354" s="174" t="s">
        <v>351</v>
      </c>
      <c r="C354" s="43" t="s">
        <v>31</v>
      </c>
      <c r="D354" s="40" t="s">
        <v>17</v>
      </c>
      <c r="E354" s="41" t="s">
        <v>22</v>
      </c>
      <c r="F354" s="41">
        <v>8</v>
      </c>
      <c r="G354" s="295">
        <v>210.08</v>
      </c>
      <c r="H354" s="40" t="s">
        <v>63</v>
      </c>
      <c r="I354" s="100"/>
      <c r="L354" s="74"/>
    </row>
    <row r="355" spans="1:12" ht="45" customHeight="1">
      <c r="A355" s="37">
        <v>191</v>
      </c>
      <c r="B355" s="88" t="s">
        <v>489</v>
      </c>
      <c r="C355" s="43" t="s">
        <v>391</v>
      </c>
      <c r="D355" s="40" t="s">
        <v>17</v>
      </c>
      <c r="E355" s="41" t="s">
        <v>25</v>
      </c>
      <c r="F355" s="41">
        <v>1</v>
      </c>
      <c r="G355" s="295">
        <v>350.16</v>
      </c>
      <c r="H355" s="40" t="s">
        <v>63</v>
      </c>
      <c r="I355" s="100"/>
      <c r="L355" s="74">
        <f>G355-K355</f>
        <v>350.16</v>
      </c>
    </row>
    <row r="356" spans="1:12" ht="29.25" customHeight="1">
      <c r="A356" s="37">
        <v>192</v>
      </c>
      <c r="B356" s="88" t="s">
        <v>291</v>
      </c>
      <c r="C356" s="43" t="s">
        <v>24</v>
      </c>
      <c r="D356" s="40" t="s">
        <v>17</v>
      </c>
      <c r="E356" s="41" t="s">
        <v>22</v>
      </c>
      <c r="F356" s="41">
        <v>15</v>
      </c>
      <c r="G356" s="295">
        <v>535.05</v>
      </c>
      <c r="H356" s="40" t="s">
        <v>63</v>
      </c>
      <c r="I356" s="100"/>
      <c r="L356" s="74"/>
    </row>
    <row r="357" spans="1:12" ht="60" customHeight="1">
      <c r="A357" s="37">
        <v>193</v>
      </c>
      <c r="B357" s="88" t="s">
        <v>490</v>
      </c>
      <c r="C357" s="43" t="s">
        <v>491</v>
      </c>
      <c r="D357" s="40" t="s">
        <v>17</v>
      </c>
      <c r="E357" s="41" t="s">
        <v>25</v>
      </c>
      <c r="F357" s="41">
        <v>1</v>
      </c>
      <c r="G357" s="295">
        <v>471.21</v>
      </c>
      <c r="H357" s="40" t="s">
        <v>63</v>
      </c>
      <c r="I357" s="100"/>
      <c r="L357" s="74">
        <f>G357-K357</f>
        <v>471.21</v>
      </c>
    </row>
    <row r="358" spans="1:12" ht="29.25" customHeight="1">
      <c r="A358" s="37">
        <v>194</v>
      </c>
      <c r="B358" s="88" t="s">
        <v>492</v>
      </c>
      <c r="C358" s="43" t="s">
        <v>493</v>
      </c>
      <c r="D358" s="40" t="s">
        <v>17</v>
      </c>
      <c r="E358" s="41" t="s">
        <v>25</v>
      </c>
      <c r="F358" s="41">
        <v>2</v>
      </c>
      <c r="G358" s="295">
        <v>481.14</v>
      </c>
      <c r="H358" s="40" t="s">
        <v>63</v>
      </c>
      <c r="I358" s="100"/>
      <c r="L358" s="74"/>
    </row>
    <row r="359" spans="1:12" ht="30" customHeight="1">
      <c r="A359" s="37">
        <v>195</v>
      </c>
      <c r="B359" s="94" t="s">
        <v>494</v>
      </c>
      <c r="C359" s="43" t="s">
        <v>197</v>
      </c>
      <c r="D359" s="40" t="s">
        <v>17</v>
      </c>
      <c r="E359" s="41" t="s">
        <v>22</v>
      </c>
      <c r="F359" s="41">
        <v>2</v>
      </c>
      <c r="G359" s="295">
        <v>942.26</v>
      </c>
      <c r="H359" s="40" t="s">
        <v>63</v>
      </c>
      <c r="I359" s="100"/>
      <c r="L359" s="74">
        <f>G359-K359</f>
        <v>942.26</v>
      </c>
    </row>
    <row r="360" spans="1:12" ht="45" customHeight="1">
      <c r="A360" s="37">
        <v>196</v>
      </c>
      <c r="B360" s="94" t="s">
        <v>292</v>
      </c>
      <c r="C360" s="43" t="s">
        <v>47</v>
      </c>
      <c r="D360" s="40" t="s">
        <v>17</v>
      </c>
      <c r="E360" s="41" t="s">
        <v>48</v>
      </c>
      <c r="F360" s="41">
        <v>12</v>
      </c>
      <c r="G360" s="295">
        <v>664.92</v>
      </c>
      <c r="H360" s="40" t="s">
        <v>63</v>
      </c>
      <c r="I360" s="100"/>
      <c r="L360" s="74"/>
    </row>
    <row r="361" spans="1:12" ht="30" customHeight="1">
      <c r="A361" s="37">
        <v>197</v>
      </c>
      <c r="B361" s="94" t="s">
        <v>51</v>
      </c>
      <c r="C361" s="43" t="s">
        <v>52</v>
      </c>
      <c r="D361" s="40" t="s">
        <v>17</v>
      </c>
      <c r="E361" s="41" t="s">
        <v>25</v>
      </c>
      <c r="F361" s="41">
        <v>60</v>
      </c>
      <c r="G361" s="295">
        <v>1194.6</v>
      </c>
      <c r="H361" s="40" t="s">
        <v>63</v>
      </c>
      <c r="I361" s="100"/>
      <c r="L361" s="74">
        <f>G361-K361</f>
        <v>1194.6</v>
      </c>
    </row>
    <row r="362" spans="1:12" ht="29.25" customHeight="1">
      <c r="A362" s="37">
        <v>198</v>
      </c>
      <c r="B362" s="154" t="s">
        <v>495</v>
      </c>
      <c r="C362" s="43" t="s">
        <v>496</v>
      </c>
      <c r="D362" s="40" t="s">
        <v>17</v>
      </c>
      <c r="E362" s="41" t="s">
        <v>25</v>
      </c>
      <c r="F362" s="41">
        <v>10</v>
      </c>
      <c r="G362" s="295">
        <v>28500</v>
      </c>
      <c r="H362" s="40" t="s">
        <v>63</v>
      </c>
      <c r="I362" s="100"/>
      <c r="L362" s="74"/>
    </row>
    <row r="363" spans="1:12" ht="29.25" customHeight="1">
      <c r="A363" s="37">
        <v>199</v>
      </c>
      <c r="B363" s="88" t="s">
        <v>497</v>
      </c>
      <c r="C363" s="43" t="s">
        <v>294</v>
      </c>
      <c r="D363" s="40" t="s">
        <v>17</v>
      </c>
      <c r="E363" s="41" t="s">
        <v>25</v>
      </c>
      <c r="F363" s="41">
        <v>36</v>
      </c>
      <c r="G363" s="295">
        <v>46800</v>
      </c>
      <c r="H363" s="40" t="s">
        <v>63</v>
      </c>
      <c r="I363" s="100"/>
      <c r="L363" s="74"/>
    </row>
    <row r="364" spans="1:12" ht="30" customHeight="1">
      <c r="A364" s="37">
        <v>200</v>
      </c>
      <c r="B364" s="175" t="s">
        <v>498</v>
      </c>
      <c r="C364" s="43" t="s">
        <v>33</v>
      </c>
      <c r="D364" s="40" t="s">
        <v>17</v>
      </c>
      <c r="E364" s="41" t="s">
        <v>313</v>
      </c>
      <c r="F364" s="41">
        <v>160</v>
      </c>
      <c r="G364" s="295">
        <v>16000</v>
      </c>
      <c r="H364" s="40" t="s">
        <v>63</v>
      </c>
      <c r="I364" s="100"/>
      <c r="L364" s="74">
        <f>G364-K364</f>
        <v>16000</v>
      </c>
    </row>
    <row r="365" spans="1:12" ht="29.25" customHeight="1">
      <c r="A365" s="37">
        <v>201</v>
      </c>
      <c r="B365" s="176" t="s">
        <v>499</v>
      </c>
      <c r="C365" s="43" t="s">
        <v>339</v>
      </c>
      <c r="D365" s="40" t="s">
        <v>17</v>
      </c>
      <c r="E365" s="41" t="s">
        <v>25</v>
      </c>
      <c r="F365" s="41">
        <v>12</v>
      </c>
      <c r="G365" s="295">
        <v>264</v>
      </c>
      <c r="H365" s="40" t="s">
        <v>63</v>
      </c>
      <c r="I365" s="100"/>
      <c r="L365" s="74"/>
    </row>
    <row r="366" spans="1:12" ht="30" customHeight="1">
      <c r="A366" s="37">
        <v>202</v>
      </c>
      <c r="B366" s="176" t="s">
        <v>500</v>
      </c>
      <c r="C366" s="43" t="s">
        <v>339</v>
      </c>
      <c r="D366" s="40" t="s">
        <v>17</v>
      </c>
      <c r="E366" s="41" t="s">
        <v>25</v>
      </c>
      <c r="F366" s="41">
        <v>9</v>
      </c>
      <c r="G366" s="295">
        <v>198</v>
      </c>
      <c r="H366" s="40" t="s">
        <v>63</v>
      </c>
      <c r="I366" s="100"/>
      <c r="L366" s="74">
        <f>G366-K366</f>
        <v>198</v>
      </c>
    </row>
    <row r="367" spans="1:12" ht="29.25" customHeight="1">
      <c r="A367" s="37">
        <v>203</v>
      </c>
      <c r="B367" s="97" t="s">
        <v>501</v>
      </c>
      <c r="C367" s="43" t="s">
        <v>204</v>
      </c>
      <c r="D367" s="40" t="s">
        <v>17</v>
      </c>
      <c r="E367" s="41" t="s">
        <v>25</v>
      </c>
      <c r="F367" s="41">
        <v>26</v>
      </c>
      <c r="G367" s="295">
        <v>2093.78</v>
      </c>
      <c r="H367" s="40" t="s">
        <v>63</v>
      </c>
      <c r="I367" s="100"/>
      <c r="L367" s="74"/>
    </row>
    <row r="368" spans="1:12" ht="45" customHeight="1">
      <c r="A368" s="37">
        <v>204</v>
      </c>
      <c r="B368" s="97" t="s">
        <v>502</v>
      </c>
      <c r="C368" s="43" t="s">
        <v>204</v>
      </c>
      <c r="D368" s="40" t="s">
        <v>17</v>
      </c>
      <c r="E368" s="41" t="s">
        <v>25</v>
      </c>
      <c r="F368" s="41">
        <v>17</v>
      </c>
      <c r="G368" s="295">
        <v>372.64</v>
      </c>
      <c r="H368" s="40" t="s">
        <v>63</v>
      </c>
      <c r="I368" s="100"/>
      <c r="L368" s="74">
        <f>G368-K368</f>
        <v>372.64</v>
      </c>
    </row>
    <row r="369" spans="1:12" ht="29.25" customHeight="1">
      <c r="A369" s="37">
        <v>205</v>
      </c>
      <c r="B369" s="97" t="s">
        <v>503</v>
      </c>
      <c r="C369" s="43" t="s">
        <v>504</v>
      </c>
      <c r="D369" s="40" t="s">
        <v>17</v>
      </c>
      <c r="E369" s="41" t="s">
        <v>25</v>
      </c>
      <c r="F369" s="41">
        <v>5</v>
      </c>
      <c r="G369" s="295">
        <v>2141</v>
      </c>
      <c r="H369" s="40" t="s">
        <v>63</v>
      </c>
      <c r="I369" s="100"/>
      <c r="L369" s="74"/>
    </row>
    <row r="370" spans="1:12" ht="45" customHeight="1">
      <c r="A370" s="37">
        <v>206</v>
      </c>
      <c r="B370" s="97" t="s">
        <v>505</v>
      </c>
      <c r="C370" s="43" t="s">
        <v>204</v>
      </c>
      <c r="D370" s="40" t="s">
        <v>17</v>
      </c>
      <c r="E370" s="41" t="s">
        <v>25</v>
      </c>
      <c r="F370" s="41">
        <v>21</v>
      </c>
      <c r="G370" s="295">
        <v>5228.16</v>
      </c>
      <c r="H370" s="40" t="s">
        <v>63</v>
      </c>
      <c r="I370" s="100"/>
      <c r="L370" s="74">
        <f>G370-K370</f>
        <v>5228.16</v>
      </c>
    </row>
    <row r="371" spans="1:12" ht="30" customHeight="1">
      <c r="A371" s="37">
        <v>207</v>
      </c>
      <c r="B371" s="97" t="s">
        <v>506</v>
      </c>
      <c r="C371" s="43" t="s">
        <v>204</v>
      </c>
      <c r="D371" s="40" t="s">
        <v>17</v>
      </c>
      <c r="E371" s="41" t="s">
        <v>205</v>
      </c>
      <c r="F371" s="41">
        <v>152.5</v>
      </c>
      <c r="G371" s="295">
        <v>53420.75</v>
      </c>
      <c r="H371" s="40" t="s">
        <v>63</v>
      </c>
      <c r="I371" s="100"/>
      <c r="L371" s="74"/>
    </row>
    <row r="372" spans="1:12" ht="60" customHeight="1">
      <c r="A372" s="37">
        <v>208</v>
      </c>
      <c r="B372" s="97" t="s">
        <v>507</v>
      </c>
      <c r="C372" s="43" t="s">
        <v>508</v>
      </c>
      <c r="D372" s="40" t="s">
        <v>17</v>
      </c>
      <c r="E372" s="41" t="s">
        <v>25</v>
      </c>
      <c r="F372" s="41">
        <v>49</v>
      </c>
      <c r="G372" s="295">
        <v>25970</v>
      </c>
      <c r="H372" s="40" t="s">
        <v>63</v>
      </c>
      <c r="I372" s="100"/>
      <c r="L372" s="74">
        <f>G372-K372</f>
        <v>25970</v>
      </c>
    </row>
    <row r="373" spans="1:12" ht="29.25" customHeight="1">
      <c r="A373" s="37">
        <v>209</v>
      </c>
      <c r="B373" s="97" t="s">
        <v>509</v>
      </c>
      <c r="C373" s="43" t="s">
        <v>197</v>
      </c>
      <c r="D373" s="40" t="s">
        <v>17</v>
      </c>
      <c r="E373" s="41" t="s">
        <v>22</v>
      </c>
      <c r="F373" s="41">
        <v>2</v>
      </c>
      <c r="G373" s="295">
        <v>90</v>
      </c>
      <c r="H373" s="40" t="s">
        <v>63</v>
      </c>
      <c r="I373" s="100"/>
      <c r="L373" s="74"/>
    </row>
    <row r="374" spans="1:12" ht="30" customHeight="1">
      <c r="A374" s="37">
        <v>210</v>
      </c>
      <c r="B374" s="97" t="s">
        <v>510</v>
      </c>
      <c r="C374" s="43" t="s">
        <v>197</v>
      </c>
      <c r="D374" s="40" t="s">
        <v>17</v>
      </c>
      <c r="E374" s="41" t="s">
        <v>25</v>
      </c>
      <c r="F374" s="41">
        <v>1200</v>
      </c>
      <c r="G374" s="295">
        <v>1116</v>
      </c>
      <c r="H374" s="40" t="s">
        <v>63</v>
      </c>
      <c r="I374" s="100"/>
      <c r="L374" s="74">
        <f>G374-K374</f>
        <v>1116</v>
      </c>
    </row>
    <row r="375" spans="1:12" ht="29.25" customHeight="1">
      <c r="A375" s="37">
        <v>211</v>
      </c>
      <c r="B375" s="97" t="s">
        <v>511</v>
      </c>
      <c r="C375" s="43" t="s">
        <v>179</v>
      </c>
      <c r="D375" s="40" t="s">
        <v>17</v>
      </c>
      <c r="E375" s="41" t="s">
        <v>25</v>
      </c>
      <c r="F375" s="41">
        <f>5+3</f>
        <v>8</v>
      </c>
      <c r="G375" s="295">
        <f>525+270.92</f>
        <v>795.9200000000001</v>
      </c>
      <c r="H375" s="40" t="s">
        <v>63</v>
      </c>
      <c r="I375" s="100"/>
      <c r="L375" s="74"/>
    </row>
    <row r="376" spans="1:12" ht="30" customHeight="1">
      <c r="A376" s="37">
        <v>212</v>
      </c>
      <c r="B376" s="38" t="s">
        <v>57</v>
      </c>
      <c r="C376" s="40" t="s">
        <v>58</v>
      </c>
      <c r="D376" s="40" t="s">
        <v>17</v>
      </c>
      <c r="E376" s="41" t="s">
        <v>25</v>
      </c>
      <c r="F376" s="41">
        <v>1</v>
      </c>
      <c r="G376" s="295">
        <v>2500.2</v>
      </c>
      <c r="H376" s="155" t="s">
        <v>19</v>
      </c>
      <c r="I376" s="100"/>
      <c r="L376" s="74"/>
    </row>
    <row r="377" spans="1:12" ht="45" customHeight="1">
      <c r="A377" s="37">
        <v>213</v>
      </c>
      <c r="B377" s="177" t="s">
        <v>466</v>
      </c>
      <c r="C377" s="43" t="s">
        <v>204</v>
      </c>
      <c r="D377" s="40" t="s">
        <v>17</v>
      </c>
      <c r="E377" s="41" t="s">
        <v>205</v>
      </c>
      <c r="F377" s="41">
        <v>31.262</v>
      </c>
      <c r="G377" s="295">
        <v>80062.92</v>
      </c>
      <c r="H377" s="40" t="s">
        <v>63</v>
      </c>
      <c r="I377" s="100"/>
      <c r="L377" s="74">
        <f>G377-K377</f>
        <v>80062.92</v>
      </c>
    </row>
    <row r="378" spans="1:12" ht="45" customHeight="1">
      <c r="A378" s="37">
        <v>214</v>
      </c>
      <c r="B378" s="177" t="s">
        <v>512</v>
      </c>
      <c r="C378" s="43" t="s">
        <v>168</v>
      </c>
      <c r="D378" s="40" t="s">
        <v>17</v>
      </c>
      <c r="E378" s="41" t="s">
        <v>25</v>
      </c>
      <c r="F378" s="41">
        <v>10</v>
      </c>
      <c r="G378" s="295">
        <v>3200</v>
      </c>
      <c r="H378" s="40" t="s">
        <v>63</v>
      </c>
      <c r="I378" s="100"/>
      <c r="L378" s="74"/>
    </row>
    <row r="379" spans="1:12" ht="45" customHeight="1">
      <c r="A379" s="37">
        <v>215</v>
      </c>
      <c r="B379" s="177" t="s">
        <v>513</v>
      </c>
      <c r="C379" s="43" t="s">
        <v>204</v>
      </c>
      <c r="D379" s="40" t="s">
        <v>17</v>
      </c>
      <c r="E379" s="41" t="s">
        <v>205</v>
      </c>
      <c r="F379" s="41">
        <v>6.72</v>
      </c>
      <c r="G379" s="295">
        <v>6115.2</v>
      </c>
      <c r="H379" s="40" t="s">
        <v>63</v>
      </c>
      <c r="I379" s="100"/>
      <c r="L379" s="74">
        <f>G379-K379</f>
        <v>6115.2</v>
      </c>
    </row>
    <row r="380" spans="1:12" ht="29.25" customHeight="1">
      <c r="A380" s="37">
        <v>216</v>
      </c>
      <c r="B380" s="177" t="s">
        <v>208</v>
      </c>
      <c r="C380" s="43" t="s">
        <v>209</v>
      </c>
      <c r="D380" s="40" t="s">
        <v>17</v>
      </c>
      <c r="E380" s="41" t="s">
        <v>25</v>
      </c>
      <c r="F380" s="41">
        <v>15.4</v>
      </c>
      <c r="G380" s="295">
        <v>2922</v>
      </c>
      <c r="H380" s="40" t="s">
        <v>63</v>
      </c>
      <c r="I380" s="100"/>
      <c r="L380" s="74"/>
    </row>
    <row r="381" spans="1:12" s="10" customFormat="1" ht="30" customHeight="1">
      <c r="A381" s="296"/>
      <c r="B381" s="308" t="s">
        <v>59</v>
      </c>
      <c r="C381" s="261"/>
      <c r="D381" s="262"/>
      <c r="E381" s="263"/>
      <c r="F381" s="263"/>
      <c r="G381" s="297">
        <f>SUM(G350:G380)</f>
        <v>287602.00000000006</v>
      </c>
      <c r="H381" s="265"/>
      <c r="I381" s="100"/>
      <c r="L381" s="267"/>
    </row>
    <row r="382" spans="1:12" ht="30" customHeight="1">
      <c r="A382" s="37">
        <v>217</v>
      </c>
      <c r="B382" s="38" t="s">
        <v>216</v>
      </c>
      <c r="C382" s="40" t="s">
        <v>217</v>
      </c>
      <c r="D382" s="40" t="s">
        <v>62</v>
      </c>
      <c r="E382" s="41" t="s">
        <v>34</v>
      </c>
      <c r="F382" s="69">
        <v>99</v>
      </c>
      <c r="G382" s="295">
        <v>1889.7</v>
      </c>
      <c r="H382" s="40" t="s">
        <v>63</v>
      </c>
      <c r="I382" s="100"/>
      <c r="L382" s="74"/>
    </row>
    <row r="383" spans="1:12" ht="30" customHeight="1">
      <c r="A383" s="37">
        <v>218</v>
      </c>
      <c r="B383" s="38" t="s">
        <v>64</v>
      </c>
      <c r="C383" s="40" t="s">
        <v>65</v>
      </c>
      <c r="D383" s="40" t="s">
        <v>62</v>
      </c>
      <c r="E383" s="41" t="s">
        <v>34</v>
      </c>
      <c r="F383" s="69">
        <v>750</v>
      </c>
      <c r="G383" s="295">
        <v>12775</v>
      </c>
      <c r="H383" s="40" t="s">
        <v>63</v>
      </c>
      <c r="I383" s="100"/>
      <c r="L383" s="74"/>
    </row>
    <row r="384" spans="1:12" ht="30" customHeight="1">
      <c r="A384" s="37">
        <v>219</v>
      </c>
      <c r="B384" s="40" t="s">
        <v>269</v>
      </c>
      <c r="C384" s="40" t="s">
        <v>270</v>
      </c>
      <c r="D384" s="40" t="s">
        <v>62</v>
      </c>
      <c r="E384" s="41" t="s">
        <v>34</v>
      </c>
      <c r="F384" s="69">
        <v>1</v>
      </c>
      <c r="G384" s="295">
        <v>374.4</v>
      </c>
      <c r="H384" s="40" t="s">
        <v>63</v>
      </c>
      <c r="I384" s="100"/>
      <c r="L384" s="74"/>
    </row>
    <row r="385" spans="1:12" ht="30" customHeight="1">
      <c r="A385" s="37">
        <v>220</v>
      </c>
      <c r="B385" s="38" t="s">
        <v>71</v>
      </c>
      <c r="C385" s="71" t="s">
        <v>72</v>
      </c>
      <c r="D385" s="40" t="s">
        <v>62</v>
      </c>
      <c r="E385" s="41" t="s">
        <v>34</v>
      </c>
      <c r="F385" s="69">
        <v>80</v>
      </c>
      <c r="G385" s="295">
        <v>1258</v>
      </c>
      <c r="H385" s="40" t="s">
        <v>63</v>
      </c>
      <c r="I385" s="100"/>
      <c r="L385" s="74"/>
    </row>
    <row r="386" spans="1:12" ht="30" customHeight="1">
      <c r="A386" s="37">
        <v>221</v>
      </c>
      <c r="B386" s="38" t="s">
        <v>73</v>
      </c>
      <c r="C386" s="40" t="s">
        <v>74</v>
      </c>
      <c r="D386" s="40" t="s">
        <v>62</v>
      </c>
      <c r="E386" s="41" t="s">
        <v>34</v>
      </c>
      <c r="F386" s="69">
        <v>75</v>
      </c>
      <c r="G386" s="295">
        <v>1760</v>
      </c>
      <c r="H386" s="40" t="s">
        <v>63</v>
      </c>
      <c r="I386" s="100"/>
      <c r="L386" s="74"/>
    </row>
    <row r="387" spans="1:12" ht="30" customHeight="1">
      <c r="A387" s="37">
        <v>222</v>
      </c>
      <c r="B387" s="38" t="s">
        <v>75</v>
      </c>
      <c r="C387" s="71" t="s">
        <v>76</v>
      </c>
      <c r="D387" s="40" t="s">
        <v>62</v>
      </c>
      <c r="E387" s="41" t="s">
        <v>77</v>
      </c>
      <c r="F387" s="69">
        <v>10</v>
      </c>
      <c r="G387" s="295">
        <v>748</v>
      </c>
      <c r="H387" s="40" t="s">
        <v>63</v>
      </c>
      <c r="I387" s="100"/>
      <c r="L387" s="74"/>
    </row>
    <row r="388" spans="1:12" ht="30" customHeight="1">
      <c r="A388" s="37">
        <v>223</v>
      </c>
      <c r="B388" s="38" t="s">
        <v>78</v>
      </c>
      <c r="C388" s="40" t="s">
        <v>79</v>
      </c>
      <c r="D388" s="40" t="s">
        <v>62</v>
      </c>
      <c r="E388" s="41" t="s">
        <v>34</v>
      </c>
      <c r="F388" s="69">
        <v>35</v>
      </c>
      <c r="G388" s="295">
        <v>10775</v>
      </c>
      <c r="H388" s="40" t="s">
        <v>63</v>
      </c>
      <c r="I388" s="100"/>
      <c r="L388" s="74"/>
    </row>
    <row r="389" spans="1:12" ht="30" customHeight="1">
      <c r="A389" s="37">
        <v>224</v>
      </c>
      <c r="B389" s="38" t="s">
        <v>80</v>
      </c>
      <c r="C389" s="40" t="s">
        <v>81</v>
      </c>
      <c r="D389" s="40" t="s">
        <v>62</v>
      </c>
      <c r="E389" s="41" t="s">
        <v>82</v>
      </c>
      <c r="F389" s="69">
        <f>75.6</f>
        <v>75.6</v>
      </c>
      <c r="G389" s="295">
        <v>3057.84</v>
      </c>
      <c r="H389" s="40" t="s">
        <v>63</v>
      </c>
      <c r="I389" s="100"/>
      <c r="L389" s="74"/>
    </row>
    <row r="390" spans="1:12" ht="30" customHeight="1">
      <c r="A390" s="37">
        <v>225</v>
      </c>
      <c r="B390" s="38" t="s">
        <v>83</v>
      </c>
      <c r="C390" s="40" t="s">
        <v>72</v>
      </c>
      <c r="D390" s="40" t="s">
        <v>62</v>
      </c>
      <c r="E390" s="41" t="s">
        <v>34</v>
      </c>
      <c r="F390" s="69">
        <v>90</v>
      </c>
      <c r="G390" s="295">
        <v>2337</v>
      </c>
      <c r="H390" s="40" t="s">
        <v>63</v>
      </c>
      <c r="I390" s="100"/>
      <c r="L390" s="74"/>
    </row>
    <row r="391" spans="1:12" ht="30" customHeight="1">
      <c r="A391" s="37">
        <v>226</v>
      </c>
      <c r="B391" s="38" t="s">
        <v>514</v>
      </c>
      <c r="C391" s="40" t="s">
        <v>85</v>
      </c>
      <c r="D391" s="40" t="s">
        <v>62</v>
      </c>
      <c r="E391" s="41" t="s">
        <v>25</v>
      </c>
      <c r="F391" s="69">
        <v>10</v>
      </c>
      <c r="G391" s="295">
        <v>1440</v>
      </c>
      <c r="H391" s="40" t="s">
        <v>63</v>
      </c>
      <c r="I391" s="100"/>
      <c r="L391" s="74"/>
    </row>
    <row r="392" spans="1:12" ht="30" customHeight="1">
      <c r="A392" s="37">
        <v>227</v>
      </c>
      <c r="B392" s="38" t="s">
        <v>665</v>
      </c>
      <c r="C392" s="40" t="s">
        <v>666</v>
      </c>
      <c r="D392" s="40" t="s">
        <v>62</v>
      </c>
      <c r="E392" s="41" t="s">
        <v>34</v>
      </c>
      <c r="F392" s="69">
        <f>39+122</f>
        <v>161</v>
      </c>
      <c r="G392" s="295">
        <v>21582</v>
      </c>
      <c r="H392" s="40" t="s">
        <v>63</v>
      </c>
      <c r="I392" s="100"/>
      <c r="L392" s="74"/>
    </row>
    <row r="393" spans="1:12" ht="30" customHeight="1">
      <c r="A393" s="37">
        <v>228</v>
      </c>
      <c r="B393" s="38" t="s">
        <v>468</v>
      </c>
      <c r="C393" s="40" t="s">
        <v>85</v>
      </c>
      <c r="D393" s="40" t="s">
        <v>62</v>
      </c>
      <c r="E393" s="41" t="s">
        <v>25</v>
      </c>
      <c r="F393" s="69">
        <v>10</v>
      </c>
      <c r="G393" s="295">
        <v>1440</v>
      </c>
      <c r="H393" s="40" t="s">
        <v>63</v>
      </c>
      <c r="I393" s="100"/>
      <c r="L393" s="74"/>
    </row>
    <row r="394" spans="1:12" ht="30" customHeight="1">
      <c r="A394" s="37">
        <v>229</v>
      </c>
      <c r="B394" s="38" t="s">
        <v>88</v>
      </c>
      <c r="C394" s="40" t="s">
        <v>85</v>
      </c>
      <c r="D394" s="40" t="s">
        <v>62</v>
      </c>
      <c r="E394" s="41" t="s">
        <v>34</v>
      </c>
      <c r="F394" s="69">
        <v>35</v>
      </c>
      <c r="G394" s="295">
        <v>4315.5</v>
      </c>
      <c r="H394" s="40" t="s">
        <v>63</v>
      </c>
      <c r="I394" s="100"/>
      <c r="L394" s="74"/>
    </row>
    <row r="395" spans="1:12" ht="30" customHeight="1">
      <c r="A395" s="37">
        <v>230</v>
      </c>
      <c r="B395" s="38" t="s">
        <v>89</v>
      </c>
      <c r="C395" s="40" t="s">
        <v>90</v>
      </c>
      <c r="D395" s="40" t="s">
        <v>62</v>
      </c>
      <c r="E395" s="41" t="s">
        <v>34</v>
      </c>
      <c r="F395" s="69">
        <v>85</v>
      </c>
      <c r="G395" s="295">
        <v>4224.5</v>
      </c>
      <c r="H395" s="40" t="s">
        <v>63</v>
      </c>
      <c r="I395" s="100"/>
      <c r="L395" s="74"/>
    </row>
    <row r="396" spans="1:12" ht="30" customHeight="1">
      <c r="A396" s="37">
        <v>231</v>
      </c>
      <c r="B396" s="38" t="s">
        <v>91</v>
      </c>
      <c r="C396" s="40" t="s">
        <v>92</v>
      </c>
      <c r="D396" s="40" t="s">
        <v>62</v>
      </c>
      <c r="E396" s="41" t="s">
        <v>34</v>
      </c>
      <c r="F396" s="69">
        <v>80</v>
      </c>
      <c r="G396" s="295">
        <v>13376</v>
      </c>
      <c r="H396" s="40" t="s">
        <v>63</v>
      </c>
      <c r="I396" s="100"/>
      <c r="L396" s="74"/>
    </row>
    <row r="397" spans="1:12" ht="30" customHeight="1">
      <c r="A397" s="37">
        <v>232</v>
      </c>
      <c r="B397" s="38" t="s">
        <v>222</v>
      </c>
      <c r="C397" s="40" t="s">
        <v>223</v>
      </c>
      <c r="D397" s="40" t="s">
        <v>62</v>
      </c>
      <c r="E397" s="41" t="s">
        <v>34</v>
      </c>
      <c r="F397" s="69">
        <v>50</v>
      </c>
      <c r="G397" s="295">
        <v>976</v>
      </c>
      <c r="H397" s="40" t="s">
        <v>63</v>
      </c>
      <c r="I397" s="100"/>
      <c r="L397" s="74"/>
    </row>
    <row r="398" spans="1:12" ht="30" customHeight="1">
      <c r="A398" s="37">
        <v>233</v>
      </c>
      <c r="B398" s="38" t="s">
        <v>93</v>
      </c>
      <c r="C398" s="40" t="s">
        <v>94</v>
      </c>
      <c r="D398" s="40" t="s">
        <v>62</v>
      </c>
      <c r="E398" s="41" t="s">
        <v>34</v>
      </c>
      <c r="F398" s="69">
        <f>-1.9+45.98</f>
        <v>44.08</v>
      </c>
      <c r="G398" s="295">
        <v>6222.31</v>
      </c>
      <c r="H398" s="40" t="s">
        <v>63</v>
      </c>
      <c r="I398" s="100"/>
      <c r="L398" s="74"/>
    </row>
    <row r="399" spans="1:12" ht="30" customHeight="1">
      <c r="A399" s="37">
        <v>234</v>
      </c>
      <c r="B399" s="38" t="s">
        <v>224</v>
      </c>
      <c r="C399" s="40" t="s">
        <v>225</v>
      </c>
      <c r="D399" s="40" t="s">
        <v>62</v>
      </c>
      <c r="E399" s="41" t="s">
        <v>34</v>
      </c>
      <c r="F399" s="69">
        <v>10</v>
      </c>
      <c r="G399" s="295">
        <v>126.1</v>
      </c>
      <c r="H399" s="40" t="s">
        <v>63</v>
      </c>
      <c r="I399" s="100"/>
      <c r="L399" s="74"/>
    </row>
    <row r="400" spans="1:12" ht="30" customHeight="1">
      <c r="A400" s="37">
        <v>235</v>
      </c>
      <c r="B400" s="40" t="s">
        <v>226</v>
      </c>
      <c r="C400" s="40" t="s">
        <v>227</v>
      </c>
      <c r="D400" s="40" t="s">
        <v>62</v>
      </c>
      <c r="E400" s="41" t="s">
        <v>34</v>
      </c>
      <c r="F400" s="69">
        <v>10</v>
      </c>
      <c r="G400" s="295">
        <v>1387</v>
      </c>
      <c r="H400" s="40" t="s">
        <v>63</v>
      </c>
      <c r="I400" s="100"/>
      <c r="L400" s="74"/>
    </row>
    <row r="401" spans="1:12" ht="30" customHeight="1">
      <c r="A401" s="37">
        <v>236</v>
      </c>
      <c r="B401" s="40" t="s">
        <v>276</v>
      </c>
      <c r="C401" s="40" t="s">
        <v>277</v>
      </c>
      <c r="D401" s="40" t="s">
        <v>62</v>
      </c>
      <c r="E401" s="41" t="s">
        <v>34</v>
      </c>
      <c r="F401" s="69">
        <v>10</v>
      </c>
      <c r="G401" s="295">
        <v>1827</v>
      </c>
      <c r="H401" s="40" t="s">
        <v>63</v>
      </c>
      <c r="I401" s="100"/>
      <c r="L401" s="74"/>
    </row>
    <row r="402" spans="1:12" ht="30" customHeight="1">
      <c r="A402" s="37">
        <v>237</v>
      </c>
      <c r="B402" s="40" t="s">
        <v>95</v>
      </c>
      <c r="C402" s="40" t="s">
        <v>96</v>
      </c>
      <c r="D402" s="40" t="s">
        <v>62</v>
      </c>
      <c r="E402" s="41" t="s">
        <v>34</v>
      </c>
      <c r="F402" s="69">
        <v>210</v>
      </c>
      <c r="G402" s="295">
        <v>43922</v>
      </c>
      <c r="H402" s="40" t="s">
        <v>63</v>
      </c>
      <c r="I402" s="100"/>
      <c r="L402" s="74"/>
    </row>
    <row r="403" spans="1:12" ht="30" customHeight="1">
      <c r="A403" s="37">
        <v>238</v>
      </c>
      <c r="B403" s="40" t="s">
        <v>667</v>
      </c>
      <c r="C403" s="40" t="s">
        <v>668</v>
      </c>
      <c r="D403" s="40" t="s">
        <v>62</v>
      </c>
      <c r="E403" s="41" t="s">
        <v>34</v>
      </c>
      <c r="F403" s="69">
        <v>150</v>
      </c>
      <c r="G403" s="295">
        <v>33239.75</v>
      </c>
      <c r="H403" s="40" t="s">
        <v>63</v>
      </c>
      <c r="I403" s="100"/>
      <c r="L403" s="74"/>
    </row>
    <row r="404" spans="1:12" ht="45" customHeight="1">
      <c r="A404" s="37">
        <v>239</v>
      </c>
      <c r="B404" s="54" t="s">
        <v>98</v>
      </c>
      <c r="C404" s="40" t="s">
        <v>61</v>
      </c>
      <c r="D404" s="40" t="s">
        <v>62</v>
      </c>
      <c r="E404" s="41" t="s">
        <v>25</v>
      </c>
      <c r="F404" s="69">
        <v>950</v>
      </c>
      <c r="G404" s="295">
        <v>12025.9</v>
      </c>
      <c r="H404" s="40" t="s">
        <v>63</v>
      </c>
      <c r="I404" s="100"/>
      <c r="L404" s="74"/>
    </row>
    <row r="405" spans="1:12" ht="30" customHeight="1">
      <c r="A405" s="37">
        <v>240</v>
      </c>
      <c r="B405" s="40" t="s">
        <v>99</v>
      </c>
      <c r="C405" s="40" t="s">
        <v>100</v>
      </c>
      <c r="D405" s="40" t="s">
        <v>62</v>
      </c>
      <c r="E405" s="41" t="s">
        <v>34</v>
      </c>
      <c r="F405" s="69">
        <v>95.5</v>
      </c>
      <c r="G405" s="295">
        <v>29168.6</v>
      </c>
      <c r="H405" s="40" t="s">
        <v>63</v>
      </c>
      <c r="I405" s="100"/>
      <c r="L405" s="74"/>
    </row>
    <row r="406" spans="1:12" ht="30" customHeight="1">
      <c r="A406" s="37">
        <v>241</v>
      </c>
      <c r="B406" s="40" t="s">
        <v>228</v>
      </c>
      <c r="C406" s="40" t="s">
        <v>229</v>
      </c>
      <c r="D406" s="40" t="s">
        <v>62</v>
      </c>
      <c r="E406" s="41" t="s">
        <v>34</v>
      </c>
      <c r="F406" s="69">
        <v>100</v>
      </c>
      <c r="G406" s="295">
        <v>4348</v>
      </c>
      <c r="H406" s="40" t="s">
        <v>63</v>
      </c>
      <c r="I406" s="100"/>
      <c r="L406" s="74"/>
    </row>
    <row r="407" spans="1:12" ht="30" customHeight="1">
      <c r="A407" s="37">
        <v>242</v>
      </c>
      <c r="B407" s="40" t="s">
        <v>103</v>
      </c>
      <c r="C407" s="40" t="s">
        <v>104</v>
      </c>
      <c r="D407" s="40" t="s">
        <v>62</v>
      </c>
      <c r="E407" s="41" t="s">
        <v>25</v>
      </c>
      <c r="F407" s="69">
        <v>2300</v>
      </c>
      <c r="G407" s="295">
        <v>10672</v>
      </c>
      <c r="H407" s="40" t="s">
        <v>63</v>
      </c>
      <c r="I407" s="100"/>
      <c r="L407" s="74"/>
    </row>
    <row r="408" spans="1:12" ht="30" customHeight="1">
      <c r="A408" s="37">
        <v>243</v>
      </c>
      <c r="B408" s="40" t="s">
        <v>230</v>
      </c>
      <c r="C408" s="40" t="s">
        <v>231</v>
      </c>
      <c r="D408" s="40" t="s">
        <v>62</v>
      </c>
      <c r="E408" s="41" t="s">
        <v>77</v>
      </c>
      <c r="F408" s="69">
        <v>60</v>
      </c>
      <c r="G408" s="295">
        <v>3516</v>
      </c>
      <c r="H408" s="40" t="s">
        <v>63</v>
      </c>
      <c r="I408" s="100"/>
      <c r="L408" s="74"/>
    </row>
    <row r="409" spans="1:12" ht="30" customHeight="1">
      <c r="A409" s="37">
        <v>244</v>
      </c>
      <c r="B409" s="38" t="s">
        <v>220</v>
      </c>
      <c r="C409" s="40" t="s">
        <v>221</v>
      </c>
      <c r="D409" s="40" t="s">
        <v>62</v>
      </c>
      <c r="E409" s="41" t="s">
        <v>34</v>
      </c>
      <c r="F409" s="69">
        <v>35</v>
      </c>
      <c r="G409" s="295">
        <v>469</v>
      </c>
      <c r="H409" s="40" t="s">
        <v>63</v>
      </c>
      <c r="I409" s="100"/>
      <c r="L409" s="74"/>
    </row>
    <row r="410" spans="1:12" ht="30" customHeight="1">
      <c r="A410" s="37">
        <v>245</v>
      </c>
      <c r="B410" s="38" t="s">
        <v>105</v>
      </c>
      <c r="C410" s="40" t="s">
        <v>70</v>
      </c>
      <c r="D410" s="40" t="s">
        <v>62</v>
      </c>
      <c r="E410" s="41" t="s">
        <v>34</v>
      </c>
      <c r="F410" s="69">
        <v>75</v>
      </c>
      <c r="G410" s="295">
        <v>2542.5</v>
      </c>
      <c r="H410" s="40" t="s">
        <v>63</v>
      </c>
      <c r="I410" s="100"/>
      <c r="L410" s="74"/>
    </row>
    <row r="411" spans="1:12" ht="30" customHeight="1">
      <c r="A411" s="37">
        <v>246</v>
      </c>
      <c r="B411" s="38" t="s">
        <v>268</v>
      </c>
      <c r="C411" s="40" t="s">
        <v>70</v>
      </c>
      <c r="D411" s="40" t="s">
        <v>62</v>
      </c>
      <c r="E411" s="41" t="s">
        <v>34</v>
      </c>
      <c r="F411" s="69">
        <v>10</v>
      </c>
      <c r="G411" s="295">
        <v>204.9</v>
      </c>
      <c r="H411" s="40" t="s">
        <v>63</v>
      </c>
      <c r="I411" s="100"/>
      <c r="L411" s="74"/>
    </row>
    <row r="412" spans="1:12" s="10" customFormat="1" ht="30" customHeight="1">
      <c r="A412" s="296"/>
      <c r="B412" s="260" t="s">
        <v>106</v>
      </c>
      <c r="C412" s="261"/>
      <c r="D412" s="262"/>
      <c r="E412" s="263"/>
      <c r="F412" s="313"/>
      <c r="G412" s="297">
        <f>SUM(G382:G411)</f>
        <v>232000</v>
      </c>
      <c r="H412" s="262"/>
      <c r="I412" s="100"/>
      <c r="L412" s="267"/>
    </row>
    <row r="413" spans="1:12" ht="30" customHeight="1">
      <c r="A413" s="37">
        <v>247</v>
      </c>
      <c r="B413" s="38" t="s">
        <v>235</v>
      </c>
      <c r="C413" s="40" t="s">
        <v>116</v>
      </c>
      <c r="D413" s="40" t="s">
        <v>109</v>
      </c>
      <c r="E413" s="41" t="s">
        <v>113</v>
      </c>
      <c r="F413" s="50" t="s">
        <v>117</v>
      </c>
      <c r="G413" s="295">
        <v>492</v>
      </c>
      <c r="H413" s="40" t="s">
        <v>63</v>
      </c>
      <c r="I413" s="100"/>
      <c r="K413" s="12">
        <f>154</f>
        <v>154</v>
      </c>
      <c r="L413" s="74">
        <f aca="true" t="shared" si="7" ref="L413:L422">G413-K413</f>
        <v>338</v>
      </c>
    </row>
    <row r="414" spans="1:12" ht="30" customHeight="1">
      <c r="A414" s="37">
        <v>248</v>
      </c>
      <c r="B414" s="38" t="s">
        <v>433</v>
      </c>
      <c r="C414" s="40" t="s">
        <v>234</v>
      </c>
      <c r="D414" s="40" t="s">
        <v>109</v>
      </c>
      <c r="E414" s="41" t="s">
        <v>113</v>
      </c>
      <c r="F414" s="41" t="s">
        <v>117</v>
      </c>
      <c r="G414" s="295">
        <v>1050</v>
      </c>
      <c r="H414" s="40" t="s">
        <v>63</v>
      </c>
      <c r="I414" s="100"/>
      <c r="K414" s="12">
        <f>350</f>
        <v>350</v>
      </c>
      <c r="L414" s="74">
        <f t="shared" si="7"/>
        <v>700</v>
      </c>
    </row>
    <row r="415" spans="1:12" ht="30" customHeight="1">
      <c r="A415" s="37">
        <v>249</v>
      </c>
      <c r="B415" s="98" t="s">
        <v>515</v>
      </c>
      <c r="C415" s="99" t="s">
        <v>112</v>
      </c>
      <c r="D415" s="99" t="s">
        <v>109</v>
      </c>
      <c r="E415" s="162" t="s">
        <v>113</v>
      </c>
      <c r="F415" s="50" t="s">
        <v>516</v>
      </c>
      <c r="G415" s="295">
        <v>7200</v>
      </c>
      <c r="H415" s="40" t="s">
        <v>63</v>
      </c>
      <c r="I415" s="100"/>
      <c r="K415" s="12">
        <v>1500</v>
      </c>
      <c r="L415" s="74">
        <f t="shared" si="7"/>
        <v>5700</v>
      </c>
    </row>
    <row r="416" spans="1:12" ht="30" customHeight="1">
      <c r="A416" s="37">
        <v>250</v>
      </c>
      <c r="B416" s="38" t="s">
        <v>130</v>
      </c>
      <c r="C416" s="40" t="s">
        <v>131</v>
      </c>
      <c r="D416" s="40" t="s">
        <v>109</v>
      </c>
      <c r="E416" s="41" t="s">
        <v>25</v>
      </c>
      <c r="F416" s="50">
        <v>4</v>
      </c>
      <c r="G416" s="295">
        <v>1060</v>
      </c>
      <c r="H416" s="40" t="s">
        <v>19</v>
      </c>
      <c r="I416" s="100"/>
      <c r="L416" s="74">
        <f t="shared" si="7"/>
        <v>1060</v>
      </c>
    </row>
    <row r="417" spans="1:12" ht="30" customHeight="1">
      <c r="A417" s="37">
        <v>251</v>
      </c>
      <c r="B417" s="38" t="s">
        <v>130</v>
      </c>
      <c r="C417" s="40" t="s">
        <v>131</v>
      </c>
      <c r="D417" s="40" t="s">
        <v>109</v>
      </c>
      <c r="E417" s="41" t="s">
        <v>25</v>
      </c>
      <c r="F417" s="50">
        <v>5</v>
      </c>
      <c r="G417" s="295">
        <v>1325</v>
      </c>
      <c r="H417" s="40" t="s">
        <v>132</v>
      </c>
      <c r="I417" s="100"/>
      <c r="L417" s="74">
        <f t="shared" si="7"/>
        <v>1325</v>
      </c>
    </row>
    <row r="418" spans="1:12" ht="30" customHeight="1">
      <c r="A418" s="37">
        <v>252</v>
      </c>
      <c r="B418" s="98" t="s">
        <v>318</v>
      </c>
      <c r="C418" s="99" t="s">
        <v>108</v>
      </c>
      <c r="D418" s="99" t="s">
        <v>109</v>
      </c>
      <c r="E418" s="162" t="s">
        <v>110</v>
      </c>
      <c r="F418" s="50">
        <v>12</v>
      </c>
      <c r="G418" s="295">
        <v>1132.8</v>
      </c>
      <c r="H418" s="40" t="s">
        <v>63</v>
      </c>
      <c r="I418" s="100"/>
      <c r="K418" s="12">
        <v>283.2</v>
      </c>
      <c r="L418" s="74">
        <f t="shared" si="7"/>
        <v>849.5999999999999</v>
      </c>
    </row>
    <row r="419" spans="1:12" ht="45" customHeight="1">
      <c r="A419" s="37">
        <v>253</v>
      </c>
      <c r="B419" s="38" t="s">
        <v>236</v>
      </c>
      <c r="C419" s="40" t="s">
        <v>119</v>
      </c>
      <c r="D419" s="40" t="s">
        <v>109</v>
      </c>
      <c r="E419" s="41" t="s">
        <v>120</v>
      </c>
      <c r="F419" s="41" t="s">
        <v>121</v>
      </c>
      <c r="G419" s="295">
        <v>8913.74</v>
      </c>
      <c r="H419" s="40" t="s">
        <v>63</v>
      </c>
      <c r="I419" s="100"/>
      <c r="K419" s="12">
        <f>2679.34</f>
        <v>2679.34</v>
      </c>
      <c r="L419" s="74">
        <f t="shared" si="7"/>
        <v>6234.4</v>
      </c>
    </row>
    <row r="420" spans="1:12" ht="30" customHeight="1">
      <c r="A420" s="37">
        <v>254</v>
      </c>
      <c r="B420" s="98" t="s">
        <v>296</v>
      </c>
      <c r="C420" s="99" t="s">
        <v>326</v>
      </c>
      <c r="D420" s="40" t="s">
        <v>109</v>
      </c>
      <c r="E420" s="41" t="s">
        <v>113</v>
      </c>
      <c r="F420" s="41" t="s">
        <v>117</v>
      </c>
      <c r="G420" s="295">
        <v>1413</v>
      </c>
      <c r="H420" s="40" t="s">
        <v>63</v>
      </c>
      <c r="I420" s="100"/>
      <c r="K420" s="12">
        <f>470.96</f>
        <v>470.96</v>
      </c>
      <c r="L420" s="74">
        <f t="shared" si="7"/>
        <v>942.04</v>
      </c>
    </row>
    <row r="421" spans="1:12" ht="30" customHeight="1">
      <c r="A421" s="37">
        <v>255</v>
      </c>
      <c r="B421" s="98" t="s">
        <v>484</v>
      </c>
      <c r="C421" s="99" t="s">
        <v>242</v>
      </c>
      <c r="D421" s="40" t="s">
        <v>109</v>
      </c>
      <c r="E421" s="40" t="s">
        <v>113</v>
      </c>
      <c r="F421" s="41">
        <v>1</v>
      </c>
      <c r="G421" s="295">
        <v>25860</v>
      </c>
      <c r="H421" s="40" t="s">
        <v>63</v>
      </c>
      <c r="I421" s="100"/>
      <c r="L421" s="74"/>
    </row>
    <row r="422" spans="1:12" ht="30" customHeight="1">
      <c r="A422" s="37">
        <v>256</v>
      </c>
      <c r="B422" s="38" t="s">
        <v>286</v>
      </c>
      <c r="C422" s="40" t="s">
        <v>239</v>
      </c>
      <c r="D422" s="40" t="s">
        <v>109</v>
      </c>
      <c r="E422" s="41" t="s">
        <v>285</v>
      </c>
      <c r="F422" s="41">
        <v>589.6</v>
      </c>
      <c r="G422" s="295">
        <v>1745.22</v>
      </c>
      <c r="H422" s="40" t="s">
        <v>19</v>
      </c>
      <c r="I422" s="100"/>
      <c r="L422" s="74">
        <f t="shared" si="7"/>
        <v>1745.22</v>
      </c>
    </row>
    <row r="423" spans="1:12" ht="30" customHeight="1">
      <c r="A423" s="37">
        <v>257</v>
      </c>
      <c r="B423" s="38" t="s">
        <v>127</v>
      </c>
      <c r="C423" s="40" t="s">
        <v>239</v>
      </c>
      <c r="D423" s="40" t="s">
        <v>109</v>
      </c>
      <c r="E423" s="41" t="s">
        <v>285</v>
      </c>
      <c r="F423" s="41">
        <v>1028</v>
      </c>
      <c r="G423" s="295">
        <v>2652.24</v>
      </c>
      <c r="H423" s="40" t="s">
        <v>19</v>
      </c>
      <c r="I423" s="100"/>
      <c r="L423" s="74"/>
    </row>
    <row r="424" spans="1:12" s="10" customFormat="1" ht="30" customHeight="1">
      <c r="A424" s="296"/>
      <c r="B424" s="260" t="s">
        <v>136</v>
      </c>
      <c r="C424" s="261"/>
      <c r="D424" s="262"/>
      <c r="E424" s="263"/>
      <c r="F424" s="263"/>
      <c r="G424" s="297">
        <f>SUM(G413:G423)</f>
        <v>52844</v>
      </c>
      <c r="H424" s="265"/>
      <c r="I424" s="100"/>
      <c r="K424" s="267">
        <f>SUM(K413:K423)</f>
        <v>5437.5</v>
      </c>
      <c r="L424" s="267">
        <f>SUM(L350:L423)</f>
        <v>161359.5</v>
      </c>
    </row>
    <row r="425" spans="1:12" ht="30" customHeight="1">
      <c r="A425" s="37">
        <v>258</v>
      </c>
      <c r="B425" s="38" t="s">
        <v>137</v>
      </c>
      <c r="C425" s="52" t="s">
        <v>138</v>
      </c>
      <c r="D425" s="40" t="s">
        <v>139</v>
      </c>
      <c r="E425" s="41" t="s">
        <v>140</v>
      </c>
      <c r="F425" s="53">
        <f>G425/2878.55</f>
        <v>129.1518299143666</v>
      </c>
      <c r="G425" s="295">
        <v>371770</v>
      </c>
      <c r="H425" s="40" t="s">
        <v>63</v>
      </c>
      <c r="I425" s="100"/>
      <c r="K425" s="74">
        <f>226780.04</f>
        <v>226780.04</v>
      </c>
      <c r="L425" s="74"/>
    </row>
    <row r="426" spans="1:12" s="10" customFormat="1" ht="30" customHeight="1">
      <c r="A426" s="296"/>
      <c r="B426" s="260" t="s">
        <v>141</v>
      </c>
      <c r="C426" s="261"/>
      <c r="D426" s="262"/>
      <c r="E426" s="263"/>
      <c r="F426" s="263"/>
      <c r="G426" s="297">
        <f>SUM(G425:G425)</f>
        <v>371770</v>
      </c>
      <c r="H426" s="265"/>
      <c r="I426" s="100"/>
      <c r="K426" s="267"/>
      <c r="L426" s="267"/>
    </row>
    <row r="427" spans="1:9" ht="30" customHeight="1">
      <c r="A427" s="37">
        <v>259</v>
      </c>
      <c r="B427" s="38" t="s">
        <v>485</v>
      </c>
      <c r="C427" s="54" t="s">
        <v>245</v>
      </c>
      <c r="D427" s="40" t="s">
        <v>246</v>
      </c>
      <c r="E427" s="41" t="s">
        <v>110</v>
      </c>
      <c r="F427" s="53">
        <v>310.73</v>
      </c>
      <c r="G427" s="295">
        <v>3952.46</v>
      </c>
      <c r="H427" s="40" t="s">
        <v>63</v>
      </c>
      <c r="I427" s="100"/>
    </row>
    <row r="428" spans="1:9" ht="30" customHeight="1">
      <c r="A428" s="37">
        <v>260</v>
      </c>
      <c r="B428" s="38" t="s">
        <v>517</v>
      </c>
      <c r="C428" s="55" t="s">
        <v>518</v>
      </c>
      <c r="D428" s="40" t="s">
        <v>246</v>
      </c>
      <c r="E428" s="41" t="s">
        <v>110</v>
      </c>
      <c r="F428" s="53">
        <v>310.73</v>
      </c>
      <c r="G428" s="295">
        <v>4244.54</v>
      </c>
      <c r="H428" s="40" t="s">
        <v>63</v>
      </c>
      <c r="I428" s="100"/>
    </row>
    <row r="429" spans="1:9" s="10" customFormat="1" ht="30" customHeight="1">
      <c r="A429" s="296"/>
      <c r="B429" s="260" t="s">
        <v>247</v>
      </c>
      <c r="C429" s="261"/>
      <c r="D429" s="262"/>
      <c r="E429" s="263"/>
      <c r="F429" s="263"/>
      <c r="G429" s="297">
        <f>SUM(G427:G428)</f>
        <v>8197</v>
      </c>
      <c r="H429" s="265"/>
      <c r="I429" s="100"/>
    </row>
    <row r="430" spans="1:11" ht="30" customHeight="1">
      <c r="A430" s="37">
        <v>261</v>
      </c>
      <c r="B430" s="38" t="s">
        <v>142</v>
      </c>
      <c r="C430" s="54" t="s">
        <v>143</v>
      </c>
      <c r="D430" s="40" t="s">
        <v>144</v>
      </c>
      <c r="E430" s="41" t="s">
        <v>145</v>
      </c>
      <c r="F430" s="56">
        <f>G430/4.14243</f>
        <v>13673.375289383284</v>
      </c>
      <c r="G430" s="295">
        <v>56641</v>
      </c>
      <c r="H430" s="40" t="s">
        <v>63</v>
      </c>
      <c r="I430" s="100"/>
      <c r="K430" s="74">
        <f>16723.1+1365.83</f>
        <v>18088.93</v>
      </c>
    </row>
    <row r="431" spans="1:9" s="10" customFormat="1" ht="30" customHeight="1">
      <c r="A431" s="296"/>
      <c r="B431" s="260" t="s">
        <v>146</v>
      </c>
      <c r="C431" s="261"/>
      <c r="D431" s="262"/>
      <c r="E431" s="262"/>
      <c r="F431" s="262"/>
      <c r="G431" s="297">
        <f>G430</f>
        <v>56641</v>
      </c>
      <c r="H431" s="265"/>
      <c r="I431" s="100"/>
    </row>
    <row r="432" spans="1:10" ht="22.5" customHeight="1">
      <c r="A432" s="19"/>
      <c r="B432" s="103" t="s">
        <v>151</v>
      </c>
      <c r="C432" s="103"/>
      <c r="D432" s="103"/>
      <c r="E432" s="103"/>
      <c r="F432" s="103"/>
      <c r="G432" s="103"/>
      <c r="H432" s="103"/>
      <c r="I432" s="103"/>
      <c r="J432" s="103"/>
    </row>
    <row r="433" spans="1:10" ht="22.5" customHeight="1">
      <c r="A433" s="19"/>
      <c r="B433" s="106" t="s">
        <v>152</v>
      </c>
      <c r="C433" s="107"/>
      <c r="D433" s="108" t="s">
        <v>153</v>
      </c>
      <c r="E433" s="109"/>
      <c r="F433" s="109"/>
      <c r="G433" s="314"/>
      <c r="H433" s="183"/>
      <c r="I433" s="70"/>
      <c r="J433" s="9"/>
    </row>
    <row r="434" spans="1:10" ht="22.5" customHeight="1">
      <c r="A434" s="19"/>
      <c r="B434" s="111"/>
      <c r="C434" s="9"/>
      <c r="D434" s="112" t="s">
        <v>154</v>
      </c>
      <c r="E434" s="113" t="s">
        <v>155</v>
      </c>
      <c r="F434" s="114"/>
      <c r="G434" s="314"/>
      <c r="H434" s="183"/>
      <c r="I434" s="70"/>
      <c r="J434" s="9"/>
    </row>
    <row r="435" spans="1:10" ht="22.5" customHeight="1">
      <c r="A435" s="19"/>
      <c r="B435" s="115" t="s">
        <v>156</v>
      </c>
      <c r="C435" s="116"/>
      <c r="D435" s="108" t="s">
        <v>157</v>
      </c>
      <c r="E435" s="109"/>
      <c r="F435" s="109"/>
      <c r="G435" s="314"/>
      <c r="H435" s="183"/>
      <c r="I435" s="70"/>
      <c r="J435" s="9"/>
    </row>
    <row r="436" spans="1:9" ht="22.5" customHeight="1">
      <c r="A436" s="19"/>
      <c r="B436" s="111"/>
      <c r="C436" s="9"/>
      <c r="D436" s="112" t="s">
        <v>154</v>
      </c>
      <c r="E436" s="113"/>
      <c r="F436" s="114"/>
      <c r="G436" s="304"/>
      <c r="H436" s="8"/>
      <c r="I436" s="141"/>
    </row>
    <row r="437" spans="1:10" ht="22.5" customHeight="1">
      <c r="A437" s="19"/>
      <c r="B437" s="115" t="s">
        <v>158</v>
      </c>
      <c r="C437" s="9"/>
      <c r="D437" s="9"/>
      <c r="E437" s="9"/>
      <c r="F437" s="9"/>
      <c r="G437" s="314"/>
      <c r="H437" s="183"/>
      <c r="I437" s="70"/>
      <c r="J437" s="9"/>
    </row>
    <row r="438" spans="1:10" s="2" customFormat="1" ht="30" customHeight="1">
      <c r="A438" s="169"/>
      <c r="B438" s="315" t="s">
        <v>159</v>
      </c>
      <c r="C438" s="116"/>
      <c r="D438" s="306" t="s">
        <v>160</v>
      </c>
      <c r="E438" s="306"/>
      <c r="F438" s="306"/>
      <c r="G438" s="316"/>
      <c r="H438" s="183"/>
      <c r="I438" s="318"/>
      <c r="J438" s="116"/>
    </row>
    <row r="439" spans="1:10" ht="22.5" customHeight="1">
      <c r="A439" s="19"/>
      <c r="B439" s="119" t="s">
        <v>486</v>
      </c>
      <c r="C439" s="119"/>
      <c r="D439" s="119"/>
      <c r="E439" s="9"/>
      <c r="F439" s="9"/>
      <c r="G439" s="314"/>
      <c r="H439" s="183"/>
      <c r="I439" s="70"/>
      <c r="J439" s="9"/>
    </row>
    <row r="440" spans="1:9" ht="67.5" customHeight="1">
      <c r="A440" s="19"/>
      <c r="B440" s="8" t="s">
        <v>0</v>
      </c>
      <c r="C440" s="20"/>
      <c r="D440" s="21"/>
      <c r="E440" s="22"/>
      <c r="F440" s="23" t="s">
        <v>1</v>
      </c>
      <c r="G440" s="23"/>
      <c r="H440" s="21"/>
      <c r="I440" s="70"/>
    </row>
    <row r="441" spans="1:10" s="8" customFormat="1" ht="45" customHeight="1">
      <c r="A441" s="317" t="s">
        <v>469</v>
      </c>
      <c r="B441" s="317"/>
      <c r="C441" s="317"/>
      <c r="D441" s="317"/>
      <c r="E441" s="317"/>
      <c r="F441" s="317"/>
      <c r="G441" s="317"/>
      <c r="H441" s="317"/>
      <c r="I441" s="317"/>
      <c r="J441" s="202"/>
    </row>
    <row r="442" spans="1:9" s="7" customFormat="1" ht="29.25" customHeight="1" hidden="1">
      <c r="A442" s="35" t="s">
        <v>470</v>
      </c>
      <c r="B442" s="173"/>
      <c r="C442" s="173"/>
      <c r="D442" s="173"/>
      <c r="E442" s="173"/>
      <c r="F442" s="173"/>
      <c r="G442" s="173"/>
      <c r="H442" s="173"/>
      <c r="I442" s="173"/>
    </row>
    <row r="443" spans="3:9" ht="15" customHeight="1">
      <c r="C443" s="124"/>
      <c r="D443" s="125" t="s">
        <v>4</v>
      </c>
      <c r="E443" s="124"/>
      <c r="F443" s="124"/>
      <c r="G443" s="3"/>
      <c r="H443" s="16"/>
      <c r="I443" s="16"/>
    </row>
    <row r="444" ht="15" customHeight="1">
      <c r="F444" s="3"/>
    </row>
    <row r="445" spans="1:11" ht="15.75" customHeight="1">
      <c r="A445" s="83" t="s">
        <v>5</v>
      </c>
      <c r="B445" s="27" t="s">
        <v>6</v>
      </c>
      <c r="C445" s="28" t="s">
        <v>7</v>
      </c>
      <c r="D445" s="28" t="s">
        <v>249</v>
      </c>
      <c r="E445" s="28" t="s">
        <v>9</v>
      </c>
      <c r="F445" s="28" t="s">
        <v>10</v>
      </c>
      <c r="G445" s="28" t="s">
        <v>250</v>
      </c>
      <c r="H445" s="28" t="s">
        <v>251</v>
      </c>
      <c r="I445" s="28" t="s">
        <v>13</v>
      </c>
      <c r="J445" s="71"/>
      <c r="K445" s="71"/>
    </row>
    <row r="446" spans="1:9" ht="31.5" customHeight="1">
      <c r="A446" s="84"/>
      <c r="B446" s="30"/>
      <c r="C446" s="31"/>
      <c r="D446" s="31"/>
      <c r="E446" s="31"/>
      <c r="F446" s="31"/>
      <c r="G446" s="31"/>
      <c r="H446" s="31"/>
      <c r="I446" s="31"/>
    </row>
    <row r="447" spans="1:9" ht="37.5" customHeight="1">
      <c r="A447" s="85"/>
      <c r="B447" s="33"/>
      <c r="C447" s="34"/>
      <c r="D447" s="34"/>
      <c r="E447" s="34"/>
      <c r="F447" s="34"/>
      <c r="G447" s="34"/>
      <c r="H447" s="34"/>
      <c r="I447" s="34"/>
    </row>
    <row r="448" spans="1:15" ht="15.75" customHeight="1">
      <c r="A448" s="32">
        <v>1</v>
      </c>
      <c r="B448" s="33">
        <v>2</v>
      </c>
      <c r="C448" s="34">
        <v>3</v>
      </c>
      <c r="D448" s="34">
        <v>4</v>
      </c>
      <c r="E448" s="34">
        <v>5</v>
      </c>
      <c r="F448" s="34">
        <v>6</v>
      </c>
      <c r="G448" s="34">
        <v>7</v>
      </c>
      <c r="H448" s="34">
        <v>8</v>
      </c>
      <c r="I448" s="72">
        <v>9</v>
      </c>
      <c r="O448" s="12" t="s">
        <v>471</v>
      </c>
    </row>
    <row r="449" spans="1:12" s="5" customFormat="1" ht="30" customHeight="1">
      <c r="A449" s="37">
        <v>262</v>
      </c>
      <c r="B449" s="38" t="s">
        <v>15</v>
      </c>
      <c r="C449" s="133" t="s">
        <v>16</v>
      </c>
      <c r="D449" s="40" t="s">
        <v>17</v>
      </c>
      <c r="E449" s="40" t="s">
        <v>18</v>
      </c>
      <c r="F449" s="41">
        <v>17</v>
      </c>
      <c r="G449" s="42">
        <v>3570</v>
      </c>
      <c r="H449" s="40" t="s">
        <v>19</v>
      </c>
      <c r="I449" s="205" t="s">
        <v>253</v>
      </c>
      <c r="L449" s="165">
        <f>G449-K449</f>
        <v>3570</v>
      </c>
    </row>
    <row r="450" spans="1:9" s="5" customFormat="1" ht="30" customHeight="1">
      <c r="A450" s="37">
        <v>263</v>
      </c>
      <c r="B450" s="38" t="s">
        <v>472</v>
      </c>
      <c r="C450" s="40" t="s">
        <v>24</v>
      </c>
      <c r="D450" s="40" t="s">
        <v>17</v>
      </c>
      <c r="E450" s="41" t="s">
        <v>25</v>
      </c>
      <c r="F450" s="56">
        <v>2</v>
      </c>
      <c r="G450" s="42">
        <v>348.1</v>
      </c>
      <c r="H450" s="40" t="s">
        <v>19</v>
      </c>
      <c r="I450" s="206"/>
    </row>
    <row r="451" spans="1:12" ht="30" customHeight="1">
      <c r="A451" s="37">
        <v>264</v>
      </c>
      <c r="B451" s="38" t="s">
        <v>422</v>
      </c>
      <c r="C451" s="40" t="s">
        <v>27</v>
      </c>
      <c r="D451" s="40" t="s">
        <v>17</v>
      </c>
      <c r="E451" s="41" t="s">
        <v>25</v>
      </c>
      <c r="F451" s="41">
        <v>19</v>
      </c>
      <c r="G451" s="295">
        <v>1127.65</v>
      </c>
      <c r="H451" s="40" t="s">
        <v>19</v>
      </c>
      <c r="I451" s="206"/>
      <c r="L451" s="74">
        <f>G451-K451</f>
        <v>1127.65</v>
      </c>
    </row>
    <row r="452" spans="1:12" ht="45" customHeight="1">
      <c r="A452" s="37">
        <v>265</v>
      </c>
      <c r="B452" s="98" t="s">
        <v>473</v>
      </c>
      <c r="C452" s="99" t="s">
        <v>27</v>
      </c>
      <c r="D452" s="40" t="s">
        <v>17</v>
      </c>
      <c r="E452" s="41" t="s">
        <v>22</v>
      </c>
      <c r="F452" s="41">
        <v>2</v>
      </c>
      <c r="G452" s="295">
        <v>345</v>
      </c>
      <c r="H452" s="40" t="s">
        <v>19</v>
      </c>
      <c r="I452" s="206"/>
      <c r="L452" s="74">
        <f>G452-K452</f>
        <v>345</v>
      </c>
    </row>
    <row r="453" spans="1:12" ht="30" customHeight="1">
      <c r="A453" s="37">
        <v>266</v>
      </c>
      <c r="B453" s="98" t="s">
        <v>343</v>
      </c>
      <c r="C453" s="203" t="s">
        <v>179</v>
      </c>
      <c r="D453" s="40" t="s">
        <v>17</v>
      </c>
      <c r="E453" s="41" t="s">
        <v>25</v>
      </c>
      <c r="F453" s="41">
        <v>3</v>
      </c>
      <c r="G453" s="295">
        <v>258.06</v>
      </c>
      <c r="H453" s="40" t="s">
        <v>19</v>
      </c>
      <c r="I453" s="206"/>
      <c r="L453" s="74"/>
    </row>
    <row r="454" spans="1:9" s="5" customFormat="1" ht="45" customHeight="1">
      <c r="A454" s="37">
        <v>267</v>
      </c>
      <c r="B454" s="38" t="s">
        <v>474</v>
      </c>
      <c r="C454" s="40" t="s">
        <v>38</v>
      </c>
      <c r="D454" s="40" t="s">
        <v>17</v>
      </c>
      <c r="E454" s="41" t="s">
        <v>25</v>
      </c>
      <c r="F454" s="56">
        <v>1</v>
      </c>
      <c r="G454" s="42">
        <v>1170</v>
      </c>
      <c r="H454" s="40" t="s">
        <v>19</v>
      </c>
      <c r="I454" s="206"/>
    </row>
    <row r="455" spans="1:9" s="5" customFormat="1" ht="30" customHeight="1">
      <c r="A455" s="37">
        <v>268</v>
      </c>
      <c r="B455" s="38" t="s">
        <v>51</v>
      </c>
      <c r="C455" s="40" t="s">
        <v>52</v>
      </c>
      <c r="D455" s="40" t="s">
        <v>17</v>
      </c>
      <c r="E455" s="41" t="s">
        <v>25</v>
      </c>
      <c r="F455" s="56">
        <v>21</v>
      </c>
      <c r="G455" s="42">
        <v>417.9</v>
      </c>
      <c r="H455" s="40" t="s">
        <v>19</v>
      </c>
      <c r="I455" s="206"/>
    </row>
    <row r="456" spans="1:9" s="5" customFormat="1" ht="30" customHeight="1">
      <c r="A456" s="37">
        <v>269</v>
      </c>
      <c r="B456" s="40" t="s">
        <v>475</v>
      </c>
      <c r="C456" s="38" t="s">
        <v>44</v>
      </c>
      <c r="D456" s="40" t="s">
        <v>17</v>
      </c>
      <c r="E456" s="41" t="s">
        <v>25</v>
      </c>
      <c r="F456" s="56">
        <v>5</v>
      </c>
      <c r="G456" s="42">
        <v>1450</v>
      </c>
      <c r="H456" s="40" t="s">
        <v>19</v>
      </c>
      <c r="I456" s="206"/>
    </row>
    <row r="457" spans="1:9" s="5" customFormat="1" ht="45" customHeight="1">
      <c r="A457" s="37">
        <v>270</v>
      </c>
      <c r="B457" s="40" t="s">
        <v>476</v>
      </c>
      <c r="C457" s="38" t="s">
        <v>44</v>
      </c>
      <c r="D457" s="40" t="s">
        <v>17</v>
      </c>
      <c r="E457" s="41" t="s">
        <v>25</v>
      </c>
      <c r="F457" s="56">
        <v>1</v>
      </c>
      <c r="G457" s="42">
        <v>360</v>
      </c>
      <c r="H457" s="40" t="s">
        <v>19</v>
      </c>
      <c r="I457" s="206"/>
    </row>
    <row r="458" spans="1:9" s="5" customFormat="1" ht="30" customHeight="1">
      <c r="A458" s="37">
        <v>271</v>
      </c>
      <c r="B458" s="40" t="s">
        <v>477</v>
      </c>
      <c r="C458" s="38" t="s">
        <v>44</v>
      </c>
      <c r="D458" s="40" t="s">
        <v>17</v>
      </c>
      <c r="E458" s="41" t="s">
        <v>25</v>
      </c>
      <c r="F458" s="56">
        <v>1</v>
      </c>
      <c r="G458" s="42">
        <v>450</v>
      </c>
      <c r="H458" s="40" t="s">
        <v>19</v>
      </c>
      <c r="I458" s="206"/>
    </row>
    <row r="459" spans="1:9" s="5" customFormat="1" ht="30" customHeight="1">
      <c r="A459" s="37">
        <v>272</v>
      </c>
      <c r="B459" s="40" t="s">
        <v>478</v>
      </c>
      <c r="C459" s="38" t="s">
        <v>42</v>
      </c>
      <c r="D459" s="40" t="s">
        <v>17</v>
      </c>
      <c r="E459" s="41" t="s">
        <v>25</v>
      </c>
      <c r="F459" s="56">
        <v>1</v>
      </c>
      <c r="G459" s="42">
        <v>56.7</v>
      </c>
      <c r="H459" s="40" t="s">
        <v>19</v>
      </c>
      <c r="I459" s="206"/>
    </row>
    <row r="460" spans="1:9" s="5" customFormat="1" ht="30" customHeight="1">
      <c r="A460" s="37">
        <v>273</v>
      </c>
      <c r="B460" s="40" t="s">
        <v>41</v>
      </c>
      <c r="C460" s="38" t="s">
        <v>42</v>
      </c>
      <c r="D460" s="40" t="s">
        <v>17</v>
      </c>
      <c r="E460" s="41" t="s">
        <v>25</v>
      </c>
      <c r="F460" s="56">
        <v>3</v>
      </c>
      <c r="G460" s="42">
        <v>456</v>
      </c>
      <c r="H460" s="40" t="s">
        <v>19</v>
      </c>
      <c r="I460" s="206"/>
    </row>
    <row r="461" spans="1:9" s="5" customFormat="1" ht="45" customHeight="1">
      <c r="A461" s="37">
        <v>274</v>
      </c>
      <c r="B461" s="40" t="s">
        <v>479</v>
      </c>
      <c r="C461" s="38" t="s">
        <v>21</v>
      </c>
      <c r="D461" s="40" t="s">
        <v>17</v>
      </c>
      <c r="E461" s="41" t="s">
        <v>22</v>
      </c>
      <c r="F461" s="56">
        <v>3</v>
      </c>
      <c r="G461" s="42">
        <v>1110.39</v>
      </c>
      <c r="H461" s="40" t="s">
        <v>19</v>
      </c>
      <c r="I461" s="206"/>
    </row>
    <row r="462" spans="1:12" ht="30" customHeight="1">
      <c r="A462" s="37">
        <v>275</v>
      </c>
      <c r="B462" s="38" t="s">
        <v>57</v>
      </c>
      <c r="C462" s="40" t="s">
        <v>58</v>
      </c>
      <c r="D462" s="40" t="s">
        <v>17</v>
      </c>
      <c r="E462" s="41" t="s">
        <v>25</v>
      </c>
      <c r="F462" s="41">
        <v>1</v>
      </c>
      <c r="G462" s="295">
        <v>2500.2</v>
      </c>
      <c r="H462" s="40" t="s">
        <v>19</v>
      </c>
      <c r="I462" s="206"/>
      <c r="L462" s="74"/>
    </row>
    <row r="463" spans="1:9" s="5" customFormat="1" ht="60" customHeight="1">
      <c r="A463" s="37">
        <v>276</v>
      </c>
      <c r="B463" s="40" t="s">
        <v>480</v>
      </c>
      <c r="C463" s="38" t="s">
        <v>481</v>
      </c>
      <c r="D463" s="40" t="s">
        <v>17</v>
      </c>
      <c r="E463" s="41" t="s">
        <v>25</v>
      </c>
      <c r="F463" s="56">
        <v>54</v>
      </c>
      <c r="G463" s="42">
        <v>28620</v>
      </c>
      <c r="H463" s="40" t="s">
        <v>19</v>
      </c>
      <c r="I463" s="206"/>
    </row>
    <row r="464" spans="1:9" s="10" customFormat="1" ht="30" customHeight="1">
      <c r="A464" s="296"/>
      <c r="B464" s="260" t="s">
        <v>59</v>
      </c>
      <c r="C464" s="261"/>
      <c r="D464" s="262"/>
      <c r="E464" s="262"/>
      <c r="F464" s="263"/>
      <c r="G464" s="319">
        <f>SUM(G449:G463)</f>
        <v>42240</v>
      </c>
      <c r="H464" s="265"/>
      <c r="I464" s="206"/>
    </row>
    <row r="465" spans="1:9" ht="29.25" customHeight="1">
      <c r="A465" s="37">
        <v>277</v>
      </c>
      <c r="B465" s="71" t="s">
        <v>218</v>
      </c>
      <c r="C465" s="40" t="s">
        <v>219</v>
      </c>
      <c r="D465" s="40" t="s">
        <v>62</v>
      </c>
      <c r="E465" s="41" t="s">
        <v>34</v>
      </c>
      <c r="F465" s="69">
        <v>5</v>
      </c>
      <c r="G465" s="42">
        <v>115.03</v>
      </c>
      <c r="H465" s="40" t="s">
        <v>63</v>
      </c>
      <c r="I465" s="206"/>
    </row>
    <row r="466" spans="1:9" ht="29.25" customHeight="1">
      <c r="A466" s="37">
        <v>278</v>
      </c>
      <c r="B466" s="38" t="s">
        <v>268</v>
      </c>
      <c r="C466" s="40" t="s">
        <v>70</v>
      </c>
      <c r="D466" s="40" t="s">
        <v>62</v>
      </c>
      <c r="E466" s="41" t="s">
        <v>34</v>
      </c>
      <c r="F466" s="69">
        <v>5</v>
      </c>
      <c r="G466" s="42">
        <v>102.52</v>
      </c>
      <c r="H466" s="40" t="s">
        <v>63</v>
      </c>
      <c r="I466" s="206"/>
    </row>
    <row r="467" spans="1:9" ht="29.25" customHeight="1">
      <c r="A467" s="37">
        <v>279</v>
      </c>
      <c r="B467" s="38" t="s">
        <v>216</v>
      </c>
      <c r="C467" s="40" t="s">
        <v>217</v>
      </c>
      <c r="D467" s="40" t="s">
        <v>62</v>
      </c>
      <c r="E467" s="41" t="s">
        <v>34</v>
      </c>
      <c r="F467" s="69">
        <v>20</v>
      </c>
      <c r="G467" s="42">
        <v>379.9</v>
      </c>
      <c r="H467" s="40" t="s">
        <v>63</v>
      </c>
      <c r="I467" s="206"/>
    </row>
    <row r="468" spans="1:9" ht="29.25" customHeight="1">
      <c r="A468" s="37">
        <v>280</v>
      </c>
      <c r="B468" s="38" t="s">
        <v>64</v>
      </c>
      <c r="C468" s="40" t="s">
        <v>65</v>
      </c>
      <c r="D468" s="40" t="s">
        <v>62</v>
      </c>
      <c r="E468" s="41" t="s">
        <v>34</v>
      </c>
      <c r="F468" s="69">
        <f>350</f>
        <v>350</v>
      </c>
      <c r="G468" s="42">
        <v>5962.5</v>
      </c>
      <c r="H468" s="40" t="s">
        <v>63</v>
      </c>
      <c r="I468" s="206"/>
    </row>
    <row r="469" spans="1:9" ht="29.25" customHeight="1">
      <c r="A469" s="37">
        <v>281</v>
      </c>
      <c r="B469" s="38" t="s">
        <v>220</v>
      </c>
      <c r="C469" s="40" t="s">
        <v>221</v>
      </c>
      <c r="D469" s="40" t="s">
        <v>62</v>
      </c>
      <c r="E469" s="41" t="s">
        <v>34</v>
      </c>
      <c r="F469" s="69">
        <v>5</v>
      </c>
      <c r="G469" s="42">
        <v>65.95</v>
      </c>
      <c r="H469" s="40" t="s">
        <v>63</v>
      </c>
      <c r="I469" s="206"/>
    </row>
    <row r="470" spans="1:9" ht="29.25" customHeight="1">
      <c r="A470" s="37">
        <v>282</v>
      </c>
      <c r="B470" s="38" t="s">
        <v>71</v>
      </c>
      <c r="C470" s="71" t="s">
        <v>72</v>
      </c>
      <c r="D470" s="40" t="s">
        <v>62</v>
      </c>
      <c r="E470" s="41" t="s">
        <v>34</v>
      </c>
      <c r="F470" s="69">
        <v>70</v>
      </c>
      <c r="G470" s="42">
        <v>1092.8</v>
      </c>
      <c r="H470" s="40" t="s">
        <v>63</v>
      </c>
      <c r="I470" s="206"/>
    </row>
    <row r="471" spans="1:9" ht="44.25" customHeight="1">
      <c r="A471" s="37">
        <v>283</v>
      </c>
      <c r="B471" s="38" t="s">
        <v>73</v>
      </c>
      <c r="C471" s="40" t="s">
        <v>74</v>
      </c>
      <c r="D471" s="40" t="s">
        <v>62</v>
      </c>
      <c r="E471" s="41" t="s">
        <v>34</v>
      </c>
      <c r="F471" s="69">
        <v>25</v>
      </c>
      <c r="G471" s="42">
        <v>583.8</v>
      </c>
      <c r="H471" s="40" t="s">
        <v>63</v>
      </c>
      <c r="I471" s="206"/>
    </row>
    <row r="472" spans="1:9" ht="30" customHeight="1">
      <c r="A472" s="37">
        <v>284</v>
      </c>
      <c r="B472" s="38" t="s">
        <v>75</v>
      </c>
      <c r="C472" s="71" t="s">
        <v>76</v>
      </c>
      <c r="D472" s="40" t="s">
        <v>62</v>
      </c>
      <c r="E472" s="41" t="s">
        <v>77</v>
      </c>
      <c r="F472" s="69">
        <v>15</v>
      </c>
      <c r="G472" s="42">
        <v>1125.95</v>
      </c>
      <c r="H472" s="40" t="s">
        <v>63</v>
      </c>
      <c r="I472" s="206"/>
    </row>
    <row r="473" spans="1:9" ht="30" customHeight="1">
      <c r="A473" s="37">
        <v>285</v>
      </c>
      <c r="B473" s="38" t="s">
        <v>78</v>
      </c>
      <c r="C473" s="40" t="s">
        <v>79</v>
      </c>
      <c r="D473" s="40" t="s">
        <v>62</v>
      </c>
      <c r="E473" s="41" t="s">
        <v>34</v>
      </c>
      <c r="F473" s="69">
        <v>20</v>
      </c>
      <c r="G473" s="42">
        <v>6156.75</v>
      </c>
      <c r="H473" s="40" t="s">
        <v>63</v>
      </c>
      <c r="I473" s="206"/>
    </row>
    <row r="474" spans="1:9" ht="45" customHeight="1">
      <c r="A474" s="37">
        <v>286</v>
      </c>
      <c r="B474" s="38" t="s">
        <v>80</v>
      </c>
      <c r="C474" s="40" t="s">
        <v>81</v>
      </c>
      <c r="D474" s="40" t="s">
        <v>62</v>
      </c>
      <c r="E474" s="41" t="s">
        <v>82</v>
      </c>
      <c r="F474" s="69">
        <f>4.5+22.5</f>
        <v>27</v>
      </c>
      <c r="G474" s="42">
        <v>1089.9</v>
      </c>
      <c r="H474" s="40" t="s">
        <v>63</v>
      </c>
      <c r="I474" s="206"/>
    </row>
    <row r="475" spans="1:9" ht="30" customHeight="1">
      <c r="A475" s="37">
        <v>287</v>
      </c>
      <c r="B475" s="38" t="s">
        <v>83</v>
      </c>
      <c r="C475" s="40" t="s">
        <v>72</v>
      </c>
      <c r="D475" s="40" t="s">
        <v>62</v>
      </c>
      <c r="E475" s="41" t="s">
        <v>34</v>
      </c>
      <c r="F475" s="69">
        <v>70</v>
      </c>
      <c r="G475" s="42">
        <v>1690</v>
      </c>
      <c r="H475" s="40" t="s">
        <v>63</v>
      </c>
      <c r="I475" s="206"/>
    </row>
    <row r="476" spans="1:9" ht="44.25" customHeight="1">
      <c r="A476" s="37">
        <v>288</v>
      </c>
      <c r="B476" s="38" t="s">
        <v>84</v>
      </c>
      <c r="C476" s="40" t="s">
        <v>85</v>
      </c>
      <c r="D476" s="40" t="s">
        <v>62</v>
      </c>
      <c r="E476" s="41" t="s">
        <v>34</v>
      </c>
      <c r="F476" s="69">
        <f>4.55+9.1</f>
        <v>13.649999999999999</v>
      </c>
      <c r="G476" s="42">
        <v>1606.97</v>
      </c>
      <c r="H476" s="40" t="s">
        <v>63</v>
      </c>
      <c r="I476" s="206"/>
    </row>
    <row r="477" spans="1:9" ht="30" customHeight="1">
      <c r="A477" s="37">
        <v>289</v>
      </c>
      <c r="B477" s="38" t="s">
        <v>665</v>
      </c>
      <c r="C477" s="40" t="s">
        <v>666</v>
      </c>
      <c r="D477" s="40" t="s">
        <v>62</v>
      </c>
      <c r="E477" s="41" t="s">
        <v>34</v>
      </c>
      <c r="F477" s="69">
        <v>60</v>
      </c>
      <c r="G477" s="42">
        <v>8444.4</v>
      </c>
      <c r="H477" s="40" t="s">
        <v>63</v>
      </c>
      <c r="I477" s="206"/>
    </row>
    <row r="478" spans="1:9" ht="30" customHeight="1">
      <c r="A478" s="37">
        <v>290</v>
      </c>
      <c r="B478" s="38" t="s">
        <v>88</v>
      </c>
      <c r="C478" s="40" t="s">
        <v>85</v>
      </c>
      <c r="D478" s="40" t="s">
        <v>62</v>
      </c>
      <c r="E478" s="41" t="s">
        <v>34</v>
      </c>
      <c r="F478" s="69">
        <v>25</v>
      </c>
      <c r="G478" s="42">
        <v>3103.5</v>
      </c>
      <c r="H478" s="40" t="s">
        <v>63</v>
      </c>
      <c r="I478" s="206"/>
    </row>
    <row r="479" spans="1:9" ht="30" customHeight="1">
      <c r="A479" s="37">
        <v>291</v>
      </c>
      <c r="B479" s="40" t="s">
        <v>269</v>
      </c>
      <c r="C479" s="40" t="s">
        <v>270</v>
      </c>
      <c r="D479" s="40" t="s">
        <v>62</v>
      </c>
      <c r="E479" s="41" t="s">
        <v>34</v>
      </c>
      <c r="F479" s="69">
        <v>1</v>
      </c>
      <c r="G479" s="42">
        <v>374.43</v>
      </c>
      <c r="H479" s="40" t="s">
        <v>63</v>
      </c>
      <c r="I479" s="206"/>
    </row>
    <row r="480" spans="1:9" ht="30" customHeight="1">
      <c r="A480" s="37">
        <v>292</v>
      </c>
      <c r="B480" s="38" t="s">
        <v>89</v>
      </c>
      <c r="C480" s="40" t="s">
        <v>90</v>
      </c>
      <c r="D480" s="40" t="s">
        <v>62</v>
      </c>
      <c r="E480" s="41" t="s">
        <v>34</v>
      </c>
      <c r="F480" s="69">
        <v>40</v>
      </c>
      <c r="G480" s="42">
        <v>1984.2</v>
      </c>
      <c r="H480" s="40" t="s">
        <v>63</v>
      </c>
      <c r="I480" s="206"/>
    </row>
    <row r="481" spans="1:9" ht="30" customHeight="1">
      <c r="A481" s="37">
        <v>293</v>
      </c>
      <c r="B481" s="38" t="s">
        <v>91</v>
      </c>
      <c r="C481" s="40" t="s">
        <v>92</v>
      </c>
      <c r="D481" s="40" t="s">
        <v>62</v>
      </c>
      <c r="E481" s="41" t="s">
        <v>34</v>
      </c>
      <c r="F481" s="69">
        <v>70</v>
      </c>
      <c r="G481" s="42">
        <v>11704.5</v>
      </c>
      <c r="H481" s="40" t="s">
        <v>63</v>
      </c>
      <c r="I481" s="206"/>
    </row>
    <row r="482" spans="1:9" ht="30" customHeight="1">
      <c r="A482" s="37">
        <v>294</v>
      </c>
      <c r="B482" s="38" t="s">
        <v>222</v>
      </c>
      <c r="C482" s="40" t="s">
        <v>223</v>
      </c>
      <c r="D482" s="40" t="s">
        <v>62</v>
      </c>
      <c r="E482" s="41" t="s">
        <v>34</v>
      </c>
      <c r="F482" s="69">
        <v>35</v>
      </c>
      <c r="G482" s="42">
        <v>678.7</v>
      </c>
      <c r="H482" s="40" t="s">
        <v>63</v>
      </c>
      <c r="I482" s="206"/>
    </row>
    <row r="483" spans="1:9" ht="30" customHeight="1">
      <c r="A483" s="37">
        <v>295</v>
      </c>
      <c r="B483" s="38" t="s">
        <v>93</v>
      </c>
      <c r="C483" s="40" t="s">
        <v>94</v>
      </c>
      <c r="D483" s="40" t="s">
        <v>62</v>
      </c>
      <c r="E483" s="41" t="s">
        <v>34</v>
      </c>
      <c r="F483" s="69">
        <v>17</v>
      </c>
      <c r="G483" s="42">
        <v>2208.29</v>
      </c>
      <c r="H483" s="40" t="s">
        <v>63</v>
      </c>
      <c r="I483" s="206"/>
    </row>
    <row r="484" spans="1:9" ht="30" customHeight="1">
      <c r="A484" s="37">
        <v>296</v>
      </c>
      <c r="B484" s="38" t="s">
        <v>224</v>
      </c>
      <c r="C484" s="40" t="s">
        <v>225</v>
      </c>
      <c r="D484" s="40" t="s">
        <v>62</v>
      </c>
      <c r="E484" s="41" t="s">
        <v>34</v>
      </c>
      <c r="F484" s="69">
        <v>10</v>
      </c>
      <c r="G484" s="42">
        <v>127.1</v>
      </c>
      <c r="H484" s="40" t="s">
        <v>63</v>
      </c>
      <c r="I484" s="206"/>
    </row>
    <row r="485" spans="1:9" ht="30" customHeight="1">
      <c r="A485" s="37">
        <v>297</v>
      </c>
      <c r="B485" s="40" t="s">
        <v>482</v>
      </c>
      <c r="C485" s="40" t="s">
        <v>227</v>
      </c>
      <c r="D485" s="40" t="s">
        <v>62</v>
      </c>
      <c r="E485" s="41" t="s">
        <v>34</v>
      </c>
      <c r="F485" s="69">
        <v>15</v>
      </c>
      <c r="G485" s="42">
        <v>2077.08</v>
      </c>
      <c r="H485" s="40" t="s">
        <v>63</v>
      </c>
      <c r="I485" s="206"/>
    </row>
    <row r="486" spans="1:9" ht="30" customHeight="1">
      <c r="A486" s="37">
        <v>298</v>
      </c>
      <c r="B486" s="40" t="s">
        <v>276</v>
      </c>
      <c r="C486" s="40" t="s">
        <v>277</v>
      </c>
      <c r="D486" s="40" t="s">
        <v>62</v>
      </c>
      <c r="E486" s="41" t="s">
        <v>34</v>
      </c>
      <c r="F486" s="69">
        <v>10</v>
      </c>
      <c r="G486" s="42">
        <v>1876.04</v>
      </c>
      <c r="H486" s="40" t="s">
        <v>63</v>
      </c>
      <c r="I486" s="206"/>
    </row>
    <row r="487" spans="1:9" ht="30" customHeight="1">
      <c r="A487" s="37">
        <v>299</v>
      </c>
      <c r="B487" s="40" t="s">
        <v>95</v>
      </c>
      <c r="C487" s="40" t="s">
        <v>96</v>
      </c>
      <c r="D487" s="40" t="s">
        <v>62</v>
      </c>
      <c r="E487" s="41" t="s">
        <v>34</v>
      </c>
      <c r="F487" s="69">
        <v>40</v>
      </c>
      <c r="G487" s="42">
        <v>8210.1</v>
      </c>
      <c r="H487" s="40" t="s">
        <v>63</v>
      </c>
      <c r="I487" s="206"/>
    </row>
    <row r="488" spans="1:9" ht="30" customHeight="1">
      <c r="A488" s="37">
        <v>300</v>
      </c>
      <c r="B488" s="40" t="s">
        <v>667</v>
      </c>
      <c r="C488" s="40" t="s">
        <v>668</v>
      </c>
      <c r="D488" s="40" t="s">
        <v>62</v>
      </c>
      <c r="E488" s="41" t="s">
        <v>34</v>
      </c>
      <c r="F488" s="69">
        <v>65</v>
      </c>
      <c r="G488" s="42">
        <v>14950</v>
      </c>
      <c r="H488" s="40" t="s">
        <v>63</v>
      </c>
      <c r="I488" s="206"/>
    </row>
    <row r="489" spans="1:9" ht="45" customHeight="1">
      <c r="A489" s="37">
        <v>301</v>
      </c>
      <c r="B489" s="54" t="s">
        <v>98</v>
      </c>
      <c r="C489" s="40" t="s">
        <v>61</v>
      </c>
      <c r="D489" s="40" t="s">
        <v>62</v>
      </c>
      <c r="E489" s="41" t="s">
        <v>25</v>
      </c>
      <c r="F489" s="69">
        <v>360</v>
      </c>
      <c r="G489" s="42">
        <v>4590.62</v>
      </c>
      <c r="H489" s="40" t="s">
        <v>63</v>
      </c>
      <c r="I489" s="206"/>
    </row>
    <row r="490" spans="1:9" ht="30" customHeight="1">
      <c r="A490" s="37">
        <v>302</v>
      </c>
      <c r="B490" s="40" t="s">
        <v>99</v>
      </c>
      <c r="C490" s="40" t="s">
        <v>100</v>
      </c>
      <c r="D490" s="40" t="s">
        <v>62</v>
      </c>
      <c r="E490" s="41" t="s">
        <v>34</v>
      </c>
      <c r="F490" s="69">
        <v>26</v>
      </c>
      <c r="G490" s="42">
        <v>7639.51</v>
      </c>
      <c r="H490" s="40" t="s">
        <v>63</v>
      </c>
      <c r="I490" s="206"/>
    </row>
    <row r="491" spans="1:9" ht="30" customHeight="1">
      <c r="A491" s="37">
        <v>303</v>
      </c>
      <c r="B491" s="38" t="s">
        <v>274</v>
      </c>
      <c r="C491" s="40" t="s">
        <v>275</v>
      </c>
      <c r="D491" s="40" t="s">
        <v>62</v>
      </c>
      <c r="E491" s="41" t="s">
        <v>34</v>
      </c>
      <c r="F491" s="69">
        <v>50</v>
      </c>
      <c r="G491" s="42">
        <v>1950</v>
      </c>
      <c r="H491" s="40" t="s">
        <v>63</v>
      </c>
      <c r="I491" s="206"/>
    </row>
    <row r="492" spans="1:9" ht="30" customHeight="1">
      <c r="A492" s="37">
        <v>304</v>
      </c>
      <c r="B492" s="40" t="s">
        <v>228</v>
      </c>
      <c r="C492" s="40" t="s">
        <v>229</v>
      </c>
      <c r="D492" s="40" t="s">
        <v>62</v>
      </c>
      <c r="E492" s="41" t="s">
        <v>34</v>
      </c>
      <c r="F492" s="69">
        <v>20</v>
      </c>
      <c r="G492" s="42">
        <v>862.25</v>
      </c>
      <c r="H492" s="40" t="s">
        <v>63</v>
      </c>
      <c r="I492" s="206"/>
    </row>
    <row r="493" spans="1:9" ht="30" customHeight="1">
      <c r="A493" s="37">
        <v>305</v>
      </c>
      <c r="B493" s="40" t="s">
        <v>103</v>
      </c>
      <c r="C493" s="40" t="s">
        <v>104</v>
      </c>
      <c r="D493" s="40" t="s">
        <v>62</v>
      </c>
      <c r="E493" s="41" t="s">
        <v>25</v>
      </c>
      <c r="F493" s="69">
        <v>1200</v>
      </c>
      <c r="G493" s="42">
        <v>5568</v>
      </c>
      <c r="H493" s="40" t="s">
        <v>63</v>
      </c>
      <c r="I493" s="206"/>
    </row>
    <row r="494" spans="1:9" ht="30" customHeight="1">
      <c r="A494" s="37">
        <v>306</v>
      </c>
      <c r="B494" s="40" t="s">
        <v>430</v>
      </c>
      <c r="C494" s="40" t="s">
        <v>231</v>
      </c>
      <c r="D494" s="40" t="s">
        <v>62</v>
      </c>
      <c r="E494" s="41" t="s">
        <v>77</v>
      </c>
      <c r="F494" s="69">
        <v>15</v>
      </c>
      <c r="G494" s="42">
        <v>902.55</v>
      </c>
      <c r="H494" s="40" t="s">
        <v>63</v>
      </c>
      <c r="I494" s="206"/>
    </row>
    <row r="495" spans="1:9" ht="30" customHeight="1">
      <c r="A495" s="37">
        <v>307</v>
      </c>
      <c r="B495" s="38" t="s">
        <v>232</v>
      </c>
      <c r="C495" s="40" t="s">
        <v>85</v>
      </c>
      <c r="D495" s="40" t="s">
        <v>62</v>
      </c>
      <c r="E495" s="41" t="s">
        <v>34</v>
      </c>
      <c r="F495" s="69">
        <f>4.8+9.6</f>
        <v>14.399999999999999</v>
      </c>
      <c r="G495" s="42">
        <v>1695.26</v>
      </c>
      <c r="H495" s="40" t="s">
        <v>63</v>
      </c>
      <c r="I495" s="206"/>
    </row>
    <row r="496" spans="1:9" ht="30" customHeight="1">
      <c r="A496" s="37">
        <v>308</v>
      </c>
      <c r="B496" s="38" t="s">
        <v>105</v>
      </c>
      <c r="C496" s="40" t="s">
        <v>70</v>
      </c>
      <c r="D496" s="40" t="s">
        <v>62</v>
      </c>
      <c r="E496" s="41" t="s">
        <v>34</v>
      </c>
      <c r="F496" s="69">
        <v>30</v>
      </c>
      <c r="G496" s="42">
        <v>987.6</v>
      </c>
      <c r="H496" s="40" t="s">
        <v>63</v>
      </c>
      <c r="I496" s="206"/>
    </row>
    <row r="497" spans="1:9" ht="30" customHeight="1">
      <c r="A497" s="37">
        <v>309</v>
      </c>
      <c r="B497" s="40" t="s">
        <v>101</v>
      </c>
      <c r="C497" s="40" t="s">
        <v>102</v>
      </c>
      <c r="D497" s="40" t="s">
        <v>62</v>
      </c>
      <c r="E497" s="41" t="s">
        <v>34</v>
      </c>
      <c r="F497" s="69">
        <v>1.5</v>
      </c>
      <c r="G497" s="42">
        <v>959.5</v>
      </c>
      <c r="H497" s="40" t="s">
        <v>63</v>
      </c>
      <c r="I497" s="206"/>
    </row>
    <row r="498" spans="1:9" ht="30" customHeight="1">
      <c r="A498" s="37">
        <v>310</v>
      </c>
      <c r="B498" s="38" t="s">
        <v>278</v>
      </c>
      <c r="C498" s="40" t="s">
        <v>70</v>
      </c>
      <c r="D498" s="40" t="s">
        <v>62</v>
      </c>
      <c r="E498" s="41" t="s">
        <v>34</v>
      </c>
      <c r="F498" s="69">
        <v>3</v>
      </c>
      <c r="G498" s="42">
        <v>54.3</v>
      </c>
      <c r="H498" s="40" t="s">
        <v>63</v>
      </c>
      <c r="I498" s="206"/>
    </row>
    <row r="499" spans="1:9" s="10" customFormat="1" ht="30" customHeight="1">
      <c r="A499" s="296"/>
      <c r="B499" s="308" t="s">
        <v>106</v>
      </c>
      <c r="C499" s="261"/>
      <c r="D499" s="262"/>
      <c r="E499" s="262"/>
      <c r="F499" s="261"/>
      <c r="G499" s="319">
        <f>SUM(G465:G498)</f>
        <v>100920</v>
      </c>
      <c r="H499" s="265"/>
      <c r="I499" s="206"/>
    </row>
    <row r="500" spans="1:12" ht="30" customHeight="1">
      <c r="A500" s="37">
        <v>311</v>
      </c>
      <c r="B500" s="38" t="s">
        <v>235</v>
      </c>
      <c r="C500" s="40" t="s">
        <v>116</v>
      </c>
      <c r="D500" s="40" t="s">
        <v>109</v>
      </c>
      <c r="E500" s="40" t="s">
        <v>25</v>
      </c>
      <c r="F500" s="50">
        <v>6</v>
      </c>
      <c r="G500" s="295">
        <v>984</v>
      </c>
      <c r="H500" s="40" t="s">
        <v>63</v>
      </c>
      <c r="I500" s="206"/>
      <c r="K500" s="12">
        <f>308</f>
        <v>308</v>
      </c>
      <c r="L500" s="74">
        <f>G500-K500</f>
        <v>676</v>
      </c>
    </row>
    <row r="501" spans="1:12" ht="30" customHeight="1">
      <c r="A501" s="37">
        <v>312</v>
      </c>
      <c r="B501" s="38" t="s">
        <v>433</v>
      </c>
      <c r="C501" s="40" t="s">
        <v>234</v>
      </c>
      <c r="D501" s="40" t="s">
        <v>109</v>
      </c>
      <c r="E501" s="40" t="s">
        <v>25</v>
      </c>
      <c r="F501" s="50">
        <v>3</v>
      </c>
      <c r="G501" s="295">
        <v>780</v>
      </c>
      <c r="H501" s="40" t="s">
        <v>63</v>
      </c>
      <c r="I501" s="206"/>
      <c r="K501" s="12">
        <f>260</f>
        <v>260</v>
      </c>
      <c r="L501" s="74">
        <f>G501-K501</f>
        <v>520</v>
      </c>
    </row>
    <row r="502" spans="1:12" ht="30" customHeight="1">
      <c r="A502" s="37">
        <v>313</v>
      </c>
      <c r="B502" s="38" t="s">
        <v>130</v>
      </c>
      <c r="C502" s="40" t="s">
        <v>131</v>
      </c>
      <c r="D502" s="40" t="s">
        <v>109</v>
      </c>
      <c r="E502" s="40" t="s">
        <v>25</v>
      </c>
      <c r="F502" s="41">
        <v>6</v>
      </c>
      <c r="G502" s="295">
        <v>1680</v>
      </c>
      <c r="H502" s="40" t="s">
        <v>132</v>
      </c>
      <c r="I502" s="206"/>
      <c r="K502" s="12">
        <v>520</v>
      </c>
      <c r="L502" s="74">
        <f aca="true" t="shared" si="8" ref="L502:L511">G502-K502</f>
        <v>1160</v>
      </c>
    </row>
    <row r="503" spans="1:12" ht="30" customHeight="1">
      <c r="A503" s="37">
        <v>314</v>
      </c>
      <c r="B503" s="38" t="s">
        <v>431</v>
      </c>
      <c r="C503" s="40" t="s">
        <v>108</v>
      </c>
      <c r="D503" s="40" t="s">
        <v>109</v>
      </c>
      <c r="E503" s="40" t="s">
        <v>110</v>
      </c>
      <c r="F503" s="41">
        <v>6</v>
      </c>
      <c r="G503" s="295">
        <v>566.4</v>
      </c>
      <c r="H503" s="40" t="s">
        <v>63</v>
      </c>
      <c r="I503" s="206"/>
      <c r="K503" s="12">
        <v>94.4</v>
      </c>
      <c r="L503" s="74">
        <f t="shared" si="8"/>
        <v>472</v>
      </c>
    </row>
    <row r="504" spans="1:12" ht="45" customHeight="1">
      <c r="A504" s="37">
        <v>315</v>
      </c>
      <c r="B504" s="38" t="s">
        <v>236</v>
      </c>
      <c r="C504" s="40" t="s">
        <v>119</v>
      </c>
      <c r="D504" s="40" t="s">
        <v>109</v>
      </c>
      <c r="E504" s="40" t="s">
        <v>120</v>
      </c>
      <c r="F504" s="41" t="s">
        <v>121</v>
      </c>
      <c r="G504" s="295">
        <v>4373.79</v>
      </c>
      <c r="H504" s="40" t="s">
        <v>63</v>
      </c>
      <c r="I504" s="206"/>
      <c r="K504" s="12">
        <f>1342.43</f>
        <v>1342.43</v>
      </c>
      <c r="L504" s="74">
        <f t="shared" si="8"/>
        <v>3031.3599999999997</v>
      </c>
    </row>
    <row r="505" spans="1:12" ht="30" customHeight="1">
      <c r="A505" s="37">
        <v>316</v>
      </c>
      <c r="B505" s="98" t="s">
        <v>296</v>
      </c>
      <c r="C505" s="99" t="s">
        <v>326</v>
      </c>
      <c r="D505" s="40" t="s">
        <v>109</v>
      </c>
      <c r="E505" s="40" t="s">
        <v>113</v>
      </c>
      <c r="F505" s="41" t="s">
        <v>117</v>
      </c>
      <c r="G505" s="295">
        <v>1413</v>
      </c>
      <c r="H505" s="40" t="s">
        <v>63</v>
      </c>
      <c r="I505" s="206"/>
      <c r="K505" s="12">
        <f>470.96</f>
        <v>470.96</v>
      </c>
      <c r="L505" s="74">
        <f t="shared" si="8"/>
        <v>942.04</v>
      </c>
    </row>
    <row r="506" spans="1:12" ht="30" customHeight="1">
      <c r="A506" s="37">
        <v>317</v>
      </c>
      <c r="B506" s="98" t="s">
        <v>295</v>
      </c>
      <c r="C506" s="99" t="s">
        <v>112</v>
      </c>
      <c r="D506" s="40" t="s">
        <v>109</v>
      </c>
      <c r="E506" s="40" t="s">
        <v>113</v>
      </c>
      <c r="F506" s="41" t="s">
        <v>483</v>
      </c>
      <c r="G506" s="295">
        <v>1800</v>
      </c>
      <c r="H506" s="40" t="s">
        <v>63</v>
      </c>
      <c r="I506" s="206"/>
      <c r="K506" s="12">
        <v>300</v>
      </c>
      <c r="L506" s="74">
        <f t="shared" si="8"/>
        <v>1500</v>
      </c>
    </row>
    <row r="507" spans="1:12" ht="45" customHeight="1">
      <c r="A507" s="37">
        <v>318</v>
      </c>
      <c r="B507" s="38" t="s">
        <v>128</v>
      </c>
      <c r="C507" s="40" t="s">
        <v>129</v>
      </c>
      <c r="D507" s="40" t="s">
        <v>109</v>
      </c>
      <c r="E507" s="41" t="s">
        <v>25</v>
      </c>
      <c r="F507" s="41">
        <v>1</v>
      </c>
      <c r="G507" s="163">
        <v>48002</v>
      </c>
      <c r="H507" s="155" t="s">
        <v>63</v>
      </c>
      <c r="I507" s="206"/>
      <c r="L507" s="74"/>
    </row>
    <row r="508" spans="1:12" ht="30" customHeight="1">
      <c r="A508" s="37">
        <v>319</v>
      </c>
      <c r="B508" s="98" t="s">
        <v>484</v>
      </c>
      <c r="C508" s="99" t="s">
        <v>242</v>
      </c>
      <c r="D508" s="40" t="s">
        <v>109</v>
      </c>
      <c r="E508" s="40" t="s">
        <v>113</v>
      </c>
      <c r="F508" s="41">
        <v>1</v>
      </c>
      <c r="G508" s="295">
        <v>40000</v>
      </c>
      <c r="H508" s="40" t="s">
        <v>63</v>
      </c>
      <c r="I508" s="206"/>
      <c r="L508" s="74"/>
    </row>
    <row r="509" spans="1:12" ht="30" customHeight="1">
      <c r="A509" s="37">
        <v>320</v>
      </c>
      <c r="B509" s="98" t="s">
        <v>127</v>
      </c>
      <c r="C509" s="99" t="s">
        <v>239</v>
      </c>
      <c r="D509" s="40" t="s">
        <v>109</v>
      </c>
      <c r="E509" s="40" t="s">
        <v>285</v>
      </c>
      <c r="F509" s="41">
        <v>1212.9</v>
      </c>
      <c r="G509" s="295">
        <v>3129.28</v>
      </c>
      <c r="H509" s="40" t="s">
        <v>19</v>
      </c>
      <c r="I509" s="206"/>
      <c r="L509" s="74"/>
    </row>
    <row r="510" spans="1:12" ht="30" customHeight="1">
      <c r="A510" s="37">
        <v>321</v>
      </c>
      <c r="B510" s="38" t="s">
        <v>286</v>
      </c>
      <c r="C510" s="40" t="s">
        <v>239</v>
      </c>
      <c r="D510" s="40" t="s">
        <v>109</v>
      </c>
      <c r="E510" s="40" t="s">
        <v>285</v>
      </c>
      <c r="F510" s="41">
        <v>134.3</v>
      </c>
      <c r="G510" s="295">
        <v>397.53</v>
      </c>
      <c r="H510" s="40" t="s">
        <v>19</v>
      </c>
      <c r="I510" s="206"/>
      <c r="L510" s="74">
        <f t="shared" si="8"/>
        <v>397.53</v>
      </c>
    </row>
    <row r="511" spans="1:12" s="10" customFormat="1" ht="30" customHeight="1">
      <c r="A511" s="296"/>
      <c r="B511" s="260" t="s">
        <v>136</v>
      </c>
      <c r="C511" s="261"/>
      <c r="D511" s="262"/>
      <c r="E511" s="262"/>
      <c r="F511" s="263"/>
      <c r="G511" s="297">
        <f>SUM(G500:G510)</f>
        <v>103126</v>
      </c>
      <c r="H511" s="265"/>
      <c r="I511" s="206"/>
      <c r="L511" s="267">
        <f t="shared" si="8"/>
        <v>103126</v>
      </c>
    </row>
    <row r="512" spans="1:11" ht="30" customHeight="1">
      <c r="A512" s="37">
        <v>322</v>
      </c>
      <c r="B512" s="38" t="s">
        <v>137</v>
      </c>
      <c r="C512" s="52" t="s">
        <v>138</v>
      </c>
      <c r="D512" s="40" t="s">
        <v>139</v>
      </c>
      <c r="E512" s="40" t="s">
        <v>140</v>
      </c>
      <c r="F512" s="53">
        <f>G512/67.76</f>
        <v>3579.1027154663516</v>
      </c>
      <c r="G512" s="295">
        <v>242520</v>
      </c>
      <c r="H512" s="40" t="s">
        <v>63</v>
      </c>
      <c r="I512" s="206"/>
      <c r="K512" s="12">
        <f>102927.44</f>
        <v>102927.44</v>
      </c>
    </row>
    <row r="513" spans="1:9" s="10" customFormat="1" ht="30" customHeight="1">
      <c r="A513" s="296"/>
      <c r="B513" s="260" t="s">
        <v>141</v>
      </c>
      <c r="C513" s="261"/>
      <c r="D513" s="262"/>
      <c r="E513" s="262"/>
      <c r="F513" s="263"/>
      <c r="G513" s="297">
        <f>SUM(G512)</f>
        <v>242520</v>
      </c>
      <c r="H513" s="265"/>
      <c r="I513" s="206"/>
    </row>
    <row r="514" spans="1:9" ht="30.75" customHeight="1">
      <c r="A514" s="37">
        <v>323</v>
      </c>
      <c r="B514" s="38" t="s">
        <v>485</v>
      </c>
      <c r="C514" s="54" t="s">
        <v>245</v>
      </c>
      <c r="D514" s="40" t="s">
        <v>246</v>
      </c>
      <c r="E514" s="40" t="s">
        <v>110</v>
      </c>
      <c r="F514" s="56">
        <f>G514/12.72</f>
        <v>88.44339622641509</v>
      </c>
      <c r="G514" s="295">
        <v>1125</v>
      </c>
      <c r="H514" s="40" t="s">
        <v>63</v>
      </c>
      <c r="I514" s="206"/>
    </row>
    <row r="515" spans="1:9" s="10" customFormat="1" ht="29.25" customHeight="1">
      <c r="A515" s="296"/>
      <c r="B515" s="260" t="s">
        <v>247</v>
      </c>
      <c r="C515" s="261"/>
      <c r="D515" s="262"/>
      <c r="E515" s="262"/>
      <c r="F515" s="263"/>
      <c r="G515" s="297">
        <f>SUM(G514:G514)</f>
        <v>1125</v>
      </c>
      <c r="H515" s="265"/>
      <c r="I515" s="206"/>
    </row>
    <row r="516" spans="1:11" ht="30" customHeight="1">
      <c r="A516" s="37">
        <v>324</v>
      </c>
      <c r="B516" s="38" t="s">
        <v>142</v>
      </c>
      <c r="C516" s="54" t="s">
        <v>143</v>
      </c>
      <c r="D516" s="40" t="s">
        <v>144</v>
      </c>
      <c r="E516" s="40" t="s">
        <v>145</v>
      </c>
      <c r="F516" s="56">
        <f>G516/4.143</f>
        <v>5811.48925899107</v>
      </c>
      <c r="G516" s="295">
        <v>24077</v>
      </c>
      <c r="H516" s="40" t="s">
        <v>63</v>
      </c>
      <c r="I516" s="206"/>
      <c r="K516" s="12">
        <v>9301.85</v>
      </c>
    </row>
    <row r="517" spans="1:9" s="10" customFormat="1" ht="29.25" customHeight="1">
      <c r="A517" s="296"/>
      <c r="B517" s="260" t="s">
        <v>146</v>
      </c>
      <c r="C517" s="261"/>
      <c r="D517" s="262"/>
      <c r="E517" s="262"/>
      <c r="F517" s="263"/>
      <c r="G517" s="297">
        <f>SUM(G516)</f>
        <v>24077</v>
      </c>
      <c r="H517" s="265"/>
      <c r="I517" s="325"/>
    </row>
    <row r="518" spans="1:9" ht="22.5" customHeight="1">
      <c r="A518" s="19"/>
      <c r="B518" s="208" t="s">
        <v>151</v>
      </c>
      <c r="C518" s="167"/>
      <c r="D518" s="168"/>
      <c r="E518" s="168"/>
      <c r="F518" s="207"/>
      <c r="G518" s="304"/>
      <c r="H518" s="8"/>
      <c r="I518" s="223"/>
    </row>
    <row r="519" spans="1:9" ht="22.5" customHeight="1">
      <c r="A519" s="19"/>
      <c r="B519" s="106" t="s">
        <v>152</v>
      </c>
      <c r="C519" s="107"/>
      <c r="D519" s="108" t="s">
        <v>153</v>
      </c>
      <c r="E519" s="109"/>
      <c r="F519" s="109"/>
      <c r="G519" s="304"/>
      <c r="H519" s="171"/>
      <c r="I519" s="223"/>
    </row>
    <row r="520" spans="1:9" s="8" customFormat="1" ht="22.5" customHeight="1">
      <c r="A520" s="19"/>
      <c r="B520" s="111"/>
      <c r="C520" s="9"/>
      <c r="D520" s="112" t="s">
        <v>154</v>
      </c>
      <c r="E520" s="113" t="s">
        <v>155</v>
      </c>
      <c r="F520" s="114"/>
      <c r="G520" s="304"/>
      <c r="H520" s="171"/>
      <c r="I520" s="223"/>
    </row>
    <row r="521" spans="1:9" s="8" customFormat="1" ht="22.5" customHeight="1">
      <c r="A521" s="19"/>
      <c r="B521" s="115" t="s">
        <v>156</v>
      </c>
      <c r="C521" s="116"/>
      <c r="D521" s="108" t="s">
        <v>157</v>
      </c>
      <c r="E521" s="109"/>
      <c r="F521" s="109"/>
      <c r="G521" s="304"/>
      <c r="H521" s="171"/>
      <c r="I521" s="223"/>
    </row>
    <row r="522" spans="1:9" ht="22.5" customHeight="1">
      <c r="A522" s="19"/>
      <c r="B522" s="111"/>
      <c r="C522" s="9"/>
      <c r="D522" s="112" t="s">
        <v>154</v>
      </c>
      <c r="E522" s="113"/>
      <c r="F522" s="114"/>
      <c r="G522" s="304"/>
      <c r="H522" s="8"/>
      <c r="I522" s="141"/>
    </row>
    <row r="523" spans="1:9" s="8" customFormat="1" ht="22.5" customHeight="1">
      <c r="A523" s="19"/>
      <c r="B523" s="115" t="s">
        <v>158</v>
      </c>
      <c r="C523" s="9"/>
      <c r="D523" s="9"/>
      <c r="E523" s="9"/>
      <c r="F523" s="9"/>
      <c r="G523" s="304"/>
      <c r="H523" s="171"/>
      <c r="I523" s="223"/>
    </row>
    <row r="524" spans="1:9" s="171" customFormat="1" ht="30" customHeight="1">
      <c r="A524" s="169"/>
      <c r="B524" s="291" t="s">
        <v>159</v>
      </c>
      <c r="C524" s="2"/>
      <c r="D524" s="320" t="s">
        <v>160</v>
      </c>
      <c r="E524" s="320"/>
      <c r="F524" s="320"/>
      <c r="G524" s="307"/>
      <c r="I524" s="326"/>
    </row>
    <row r="525" spans="1:9" s="8" customFormat="1" ht="22.5" customHeight="1">
      <c r="A525" s="19"/>
      <c r="B525" s="119" t="s">
        <v>486</v>
      </c>
      <c r="C525" s="119"/>
      <c r="D525" s="119"/>
      <c r="E525" s="9"/>
      <c r="F525" s="9"/>
      <c r="G525" s="304"/>
      <c r="H525" s="171"/>
      <c r="I525" s="223"/>
    </row>
    <row r="526" spans="1:9" ht="67.5" customHeight="1">
      <c r="A526" s="19"/>
      <c r="B526" s="8" t="s">
        <v>0</v>
      </c>
      <c r="C526" s="20"/>
      <c r="D526" s="21"/>
      <c r="E526" s="22"/>
      <c r="F526" s="23" t="s">
        <v>1</v>
      </c>
      <c r="G526" s="23"/>
      <c r="H526" s="21"/>
      <c r="I526" s="70"/>
    </row>
    <row r="527" spans="1:10" s="187" customFormat="1" ht="45" customHeight="1">
      <c r="A527" s="321"/>
      <c r="B527" s="317" t="s">
        <v>439</v>
      </c>
      <c r="C527" s="317"/>
      <c r="D527" s="317"/>
      <c r="E527" s="317"/>
      <c r="F527" s="317"/>
      <c r="G527" s="317"/>
      <c r="H527" s="317"/>
      <c r="I527" s="317"/>
      <c r="J527" s="317"/>
    </row>
    <row r="528" spans="1:9" s="7" customFormat="1" ht="29.25" customHeight="1" hidden="1">
      <c r="A528" s="35" t="s">
        <v>671</v>
      </c>
      <c r="B528" s="173"/>
      <c r="C528" s="173"/>
      <c r="D528" s="173"/>
      <c r="E528" s="173"/>
      <c r="F528" s="173"/>
      <c r="G528" s="173"/>
      <c r="H528" s="173"/>
      <c r="I528" s="173"/>
    </row>
    <row r="529" spans="3:9" ht="15" customHeight="1">
      <c r="C529" s="124"/>
      <c r="D529" s="125" t="s">
        <v>4</v>
      </c>
      <c r="E529" s="124"/>
      <c r="F529" s="124"/>
      <c r="G529" s="3"/>
      <c r="H529" s="16"/>
      <c r="I529" s="16"/>
    </row>
    <row r="530" ht="15" customHeight="1"/>
    <row r="531" spans="1:11" ht="15.75" customHeight="1">
      <c r="A531" s="26" t="s">
        <v>5</v>
      </c>
      <c r="B531" s="27" t="s">
        <v>6</v>
      </c>
      <c r="C531" s="28" t="s">
        <v>7</v>
      </c>
      <c r="D531" s="28" t="s">
        <v>249</v>
      </c>
      <c r="E531" s="28" t="s">
        <v>9</v>
      </c>
      <c r="F531" s="28" t="s">
        <v>10</v>
      </c>
      <c r="G531" s="28" t="s">
        <v>250</v>
      </c>
      <c r="H531" s="28" t="s">
        <v>251</v>
      </c>
      <c r="I531" s="28" t="s">
        <v>13</v>
      </c>
      <c r="J531" s="71"/>
      <c r="K531" s="71"/>
    </row>
    <row r="532" spans="1:9" ht="31.5" customHeight="1">
      <c r="A532" s="29"/>
      <c r="B532" s="30"/>
      <c r="C532" s="31"/>
      <c r="D532" s="31"/>
      <c r="E532" s="31"/>
      <c r="F532" s="31"/>
      <c r="G532" s="31"/>
      <c r="H532" s="31"/>
      <c r="I532" s="31"/>
    </row>
    <row r="533" spans="1:9" ht="37.5" customHeight="1">
      <c r="A533" s="32"/>
      <c r="B533" s="33"/>
      <c r="C533" s="34"/>
      <c r="D533" s="34"/>
      <c r="E533" s="34"/>
      <c r="F533" s="34"/>
      <c r="G533" s="34"/>
      <c r="H533" s="34"/>
      <c r="I533" s="34"/>
    </row>
    <row r="534" spans="1:9" ht="20.25" customHeight="1">
      <c r="A534" s="32">
        <v>1</v>
      </c>
      <c r="B534" s="33">
        <v>2</v>
      </c>
      <c r="C534" s="34">
        <v>3</v>
      </c>
      <c r="D534" s="34">
        <v>4</v>
      </c>
      <c r="E534" s="34">
        <v>5</v>
      </c>
      <c r="F534" s="34">
        <v>6</v>
      </c>
      <c r="G534" s="34">
        <v>7</v>
      </c>
      <c r="H534" s="34">
        <v>8</v>
      </c>
      <c r="I534" s="72">
        <v>9</v>
      </c>
    </row>
    <row r="535" spans="1:14" s="6" customFormat="1" ht="30" customHeight="1">
      <c r="A535" s="37">
        <v>325</v>
      </c>
      <c r="B535" s="160" t="s">
        <v>440</v>
      </c>
      <c r="C535" s="133" t="s">
        <v>441</v>
      </c>
      <c r="D535" s="133" t="s">
        <v>17</v>
      </c>
      <c r="E535" s="41" t="s">
        <v>18</v>
      </c>
      <c r="F535" s="41">
        <v>1</v>
      </c>
      <c r="G535" s="53">
        <v>660.02</v>
      </c>
      <c r="H535" s="210" t="s">
        <v>63</v>
      </c>
      <c r="I535" s="224" t="s">
        <v>253</v>
      </c>
      <c r="L535" s="166">
        <f>G535-K535</f>
        <v>660.02</v>
      </c>
      <c r="M535" s="6">
        <f>199-125</f>
        <v>74</v>
      </c>
      <c r="N535" s="6">
        <f>27223.2-17100</f>
        <v>10123.2</v>
      </c>
    </row>
    <row r="536" spans="1:12" s="6" customFormat="1" ht="30" customHeight="1">
      <c r="A536" s="37">
        <v>326</v>
      </c>
      <c r="B536" s="160" t="s">
        <v>442</v>
      </c>
      <c r="C536" s="174" t="s">
        <v>16</v>
      </c>
      <c r="D536" s="133" t="s">
        <v>17</v>
      </c>
      <c r="E536" s="41" t="s">
        <v>25</v>
      </c>
      <c r="F536" s="41">
        <v>30</v>
      </c>
      <c r="G536" s="53">
        <v>606.9</v>
      </c>
      <c r="H536" s="210" t="s">
        <v>63</v>
      </c>
      <c r="I536" s="224"/>
      <c r="L536" s="166">
        <f>G536-K536</f>
        <v>606.9</v>
      </c>
    </row>
    <row r="537" spans="1:12" s="6" customFormat="1" ht="30" customHeight="1">
      <c r="A537" s="37">
        <v>327</v>
      </c>
      <c r="B537" s="174" t="s">
        <v>443</v>
      </c>
      <c r="C537" s="174" t="s">
        <v>171</v>
      </c>
      <c r="D537" s="133" t="s">
        <v>17</v>
      </c>
      <c r="E537" s="41" t="s">
        <v>25</v>
      </c>
      <c r="F537" s="41">
        <v>5</v>
      </c>
      <c r="G537" s="322">
        <v>95.1</v>
      </c>
      <c r="H537" s="210" t="s">
        <v>63</v>
      </c>
      <c r="I537" s="224"/>
      <c r="L537" s="166"/>
    </row>
    <row r="538" spans="1:12" s="6" customFormat="1" ht="30" customHeight="1">
      <c r="A538" s="37">
        <v>328</v>
      </c>
      <c r="B538" s="174" t="s">
        <v>444</v>
      </c>
      <c r="C538" s="174" t="s">
        <v>24</v>
      </c>
      <c r="D538" s="133" t="s">
        <v>17</v>
      </c>
      <c r="E538" s="162" t="s">
        <v>306</v>
      </c>
      <c r="F538" s="41">
        <v>5</v>
      </c>
      <c r="G538" s="322">
        <v>340.4</v>
      </c>
      <c r="H538" s="210" t="s">
        <v>63</v>
      </c>
      <c r="I538" s="224"/>
      <c r="L538" s="166"/>
    </row>
    <row r="539" spans="1:12" s="6" customFormat="1" ht="60" customHeight="1">
      <c r="A539" s="37">
        <v>329</v>
      </c>
      <c r="B539" s="174" t="s">
        <v>445</v>
      </c>
      <c r="C539" s="174" t="s">
        <v>21</v>
      </c>
      <c r="D539" s="133" t="s">
        <v>17</v>
      </c>
      <c r="E539" s="162" t="s">
        <v>306</v>
      </c>
      <c r="F539" s="41">
        <v>3</v>
      </c>
      <c r="G539" s="322">
        <v>1111.32</v>
      </c>
      <c r="H539" s="210" t="s">
        <v>63</v>
      </c>
      <c r="I539" s="224"/>
      <c r="L539" s="166"/>
    </row>
    <row r="540" spans="1:12" s="6" customFormat="1" ht="29.25" customHeight="1">
      <c r="A540" s="37">
        <v>330</v>
      </c>
      <c r="B540" s="212" t="s">
        <v>446</v>
      </c>
      <c r="C540" s="174" t="s">
        <v>24</v>
      </c>
      <c r="D540" s="133" t="s">
        <v>17</v>
      </c>
      <c r="E540" s="162" t="s">
        <v>25</v>
      </c>
      <c r="F540" s="41">
        <v>1</v>
      </c>
      <c r="G540" s="322">
        <v>174.64</v>
      </c>
      <c r="H540" s="210" t="s">
        <v>63</v>
      </c>
      <c r="I540" s="224"/>
      <c r="L540" s="166"/>
    </row>
    <row r="541" spans="1:12" s="6" customFormat="1" ht="29.25" customHeight="1">
      <c r="A541" s="37">
        <v>331</v>
      </c>
      <c r="B541" s="174" t="s">
        <v>447</v>
      </c>
      <c r="C541" s="174" t="s">
        <v>24</v>
      </c>
      <c r="D541" s="133" t="s">
        <v>17</v>
      </c>
      <c r="E541" s="162" t="s">
        <v>25</v>
      </c>
      <c r="F541" s="41">
        <v>10</v>
      </c>
      <c r="G541" s="322">
        <v>106</v>
      </c>
      <c r="H541" s="210" t="s">
        <v>63</v>
      </c>
      <c r="I541" s="224"/>
      <c r="L541" s="166"/>
    </row>
    <row r="542" spans="1:12" s="6" customFormat="1" ht="29.25" customHeight="1">
      <c r="A542" s="37">
        <v>332</v>
      </c>
      <c r="B542" s="174" t="s">
        <v>448</v>
      </c>
      <c r="C542" s="174" t="s">
        <v>24</v>
      </c>
      <c r="D542" s="133" t="s">
        <v>17</v>
      </c>
      <c r="E542" s="3" t="s">
        <v>306</v>
      </c>
      <c r="F542" s="41">
        <v>2</v>
      </c>
      <c r="G542" s="3">
        <v>248.14</v>
      </c>
      <c r="H542" s="210" t="s">
        <v>63</v>
      </c>
      <c r="I542" s="224"/>
      <c r="L542" s="166"/>
    </row>
    <row r="543" spans="1:12" s="6" customFormat="1" ht="60" customHeight="1">
      <c r="A543" s="37">
        <v>333</v>
      </c>
      <c r="B543" s="174" t="s">
        <v>449</v>
      </c>
      <c r="C543" s="174" t="s">
        <v>21</v>
      </c>
      <c r="D543" s="133" t="s">
        <v>17</v>
      </c>
      <c r="E543" s="162" t="s">
        <v>25</v>
      </c>
      <c r="F543" s="41">
        <v>4</v>
      </c>
      <c r="G543" s="322">
        <v>99.12</v>
      </c>
      <c r="H543" s="210" t="s">
        <v>63</v>
      </c>
      <c r="I543" s="224"/>
      <c r="L543" s="166"/>
    </row>
    <row r="544" spans="1:12" s="6" customFormat="1" ht="29.25" customHeight="1">
      <c r="A544" s="37">
        <v>334</v>
      </c>
      <c r="B544" s="174" t="s">
        <v>15</v>
      </c>
      <c r="C544" s="174" t="s">
        <v>16</v>
      </c>
      <c r="D544" s="133" t="s">
        <v>17</v>
      </c>
      <c r="E544" s="162" t="s">
        <v>18</v>
      </c>
      <c r="F544" s="41">
        <v>12</v>
      </c>
      <c r="G544" s="322">
        <v>2520</v>
      </c>
      <c r="H544" s="210" t="s">
        <v>63</v>
      </c>
      <c r="I544" s="224"/>
      <c r="L544" s="166"/>
    </row>
    <row r="545" spans="1:12" s="6" customFormat="1" ht="29.25" customHeight="1">
      <c r="A545" s="37">
        <v>335</v>
      </c>
      <c r="B545" s="174" t="s">
        <v>422</v>
      </c>
      <c r="C545" s="174" t="s">
        <v>27</v>
      </c>
      <c r="D545" s="133" t="s">
        <v>17</v>
      </c>
      <c r="E545" s="162" t="s">
        <v>306</v>
      </c>
      <c r="F545" s="41">
        <v>30</v>
      </c>
      <c r="G545" s="322">
        <v>1780.5</v>
      </c>
      <c r="H545" s="210" t="s">
        <v>63</v>
      </c>
      <c r="I545" s="224"/>
      <c r="L545" s="166"/>
    </row>
    <row r="546" spans="1:12" s="6" customFormat="1" ht="30" customHeight="1">
      <c r="A546" s="37">
        <v>336</v>
      </c>
      <c r="B546" s="174" t="s">
        <v>450</v>
      </c>
      <c r="C546" s="174" t="s">
        <v>27</v>
      </c>
      <c r="D546" s="210" t="s">
        <v>17</v>
      </c>
      <c r="E546" s="162" t="s">
        <v>22</v>
      </c>
      <c r="F546" s="41">
        <v>2</v>
      </c>
      <c r="G546" s="322">
        <v>352.76</v>
      </c>
      <c r="H546" s="210" t="s">
        <v>63</v>
      </c>
      <c r="I546" s="224"/>
      <c r="L546" s="166"/>
    </row>
    <row r="547" spans="1:12" s="6" customFormat="1" ht="30" customHeight="1">
      <c r="A547" s="37">
        <v>337</v>
      </c>
      <c r="B547" s="174" t="s">
        <v>351</v>
      </c>
      <c r="C547" s="213" t="s">
        <v>31</v>
      </c>
      <c r="D547" s="210" t="s">
        <v>17</v>
      </c>
      <c r="E547" s="162" t="s">
        <v>22</v>
      </c>
      <c r="F547" s="41">
        <v>5</v>
      </c>
      <c r="G547" s="322">
        <v>131.3</v>
      </c>
      <c r="H547" s="210" t="s">
        <v>63</v>
      </c>
      <c r="I547" s="224"/>
      <c r="L547" s="166"/>
    </row>
    <row r="548" spans="1:12" s="6" customFormat="1" ht="30" customHeight="1">
      <c r="A548" s="37">
        <v>338</v>
      </c>
      <c r="B548" s="174" t="s">
        <v>383</v>
      </c>
      <c r="C548" s="174" t="s">
        <v>346</v>
      </c>
      <c r="D548" s="133" t="s">
        <v>17</v>
      </c>
      <c r="E548" s="162" t="s">
        <v>34</v>
      </c>
      <c r="F548" s="41">
        <v>6</v>
      </c>
      <c r="G548" s="322">
        <v>5940</v>
      </c>
      <c r="H548" s="210" t="s">
        <v>63</v>
      </c>
      <c r="I548" s="224"/>
      <c r="L548" s="166"/>
    </row>
    <row r="549" spans="1:12" s="6" customFormat="1" ht="30" customHeight="1">
      <c r="A549" s="37">
        <v>339</v>
      </c>
      <c r="B549" s="212" t="s">
        <v>451</v>
      </c>
      <c r="C549" s="174" t="s">
        <v>27</v>
      </c>
      <c r="D549" s="133" t="s">
        <v>17</v>
      </c>
      <c r="E549" s="162" t="s">
        <v>306</v>
      </c>
      <c r="F549" s="41">
        <v>4</v>
      </c>
      <c r="G549" s="322">
        <v>236</v>
      </c>
      <c r="H549" s="210" t="s">
        <v>63</v>
      </c>
      <c r="I549" s="224"/>
      <c r="L549" s="166"/>
    </row>
    <row r="550" spans="1:12" s="6" customFormat="1" ht="29.25" customHeight="1">
      <c r="A550" s="37">
        <v>340</v>
      </c>
      <c r="B550" s="174" t="s">
        <v>452</v>
      </c>
      <c r="C550" s="174" t="s">
        <v>27</v>
      </c>
      <c r="D550" s="133" t="s">
        <v>17</v>
      </c>
      <c r="E550" s="162" t="s">
        <v>25</v>
      </c>
      <c r="F550" s="41">
        <v>5</v>
      </c>
      <c r="G550" s="322">
        <v>84.3</v>
      </c>
      <c r="H550" s="210" t="s">
        <v>63</v>
      </c>
      <c r="I550" s="224"/>
      <c r="L550" s="166"/>
    </row>
    <row r="551" spans="1:12" s="6" customFormat="1" ht="29.25" customHeight="1">
      <c r="A551" s="37">
        <v>341</v>
      </c>
      <c r="B551" s="174" t="s">
        <v>453</v>
      </c>
      <c r="C551" s="174" t="s">
        <v>179</v>
      </c>
      <c r="D551" s="133" t="s">
        <v>17</v>
      </c>
      <c r="E551" s="162" t="s">
        <v>25</v>
      </c>
      <c r="F551" s="41">
        <v>6</v>
      </c>
      <c r="G551" s="322">
        <v>1283.88</v>
      </c>
      <c r="H551" s="210" t="s">
        <v>63</v>
      </c>
      <c r="I551" s="224"/>
      <c r="L551" s="166"/>
    </row>
    <row r="552" spans="1:12" s="6" customFormat="1" ht="29.25" customHeight="1">
      <c r="A552" s="37">
        <v>342</v>
      </c>
      <c r="B552" s="174" t="s">
        <v>454</v>
      </c>
      <c r="C552" s="174" t="s">
        <v>24</v>
      </c>
      <c r="D552" s="133" t="s">
        <v>17</v>
      </c>
      <c r="E552" s="162" t="s">
        <v>25</v>
      </c>
      <c r="F552" s="41">
        <v>5</v>
      </c>
      <c r="G552" s="322">
        <v>391.7</v>
      </c>
      <c r="H552" s="210" t="s">
        <v>63</v>
      </c>
      <c r="I552" s="224"/>
      <c r="L552" s="166"/>
    </row>
    <row r="553" spans="1:12" s="6" customFormat="1" ht="29.25" customHeight="1">
      <c r="A553" s="37">
        <v>343</v>
      </c>
      <c r="B553" s="174" t="s">
        <v>455</v>
      </c>
      <c r="C553" s="174" t="s">
        <v>24</v>
      </c>
      <c r="D553" s="133" t="s">
        <v>17</v>
      </c>
      <c r="E553" s="162" t="s">
        <v>25</v>
      </c>
      <c r="F553" s="41">
        <v>3</v>
      </c>
      <c r="G553" s="322">
        <v>274.5</v>
      </c>
      <c r="H553" s="210" t="s">
        <v>63</v>
      </c>
      <c r="I553" s="224"/>
      <c r="L553" s="166"/>
    </row>
    <row r="554" spans="1:12" s="6" customFormat="1" ht="29.25" customHeight="1">
      <c r="A554" s="37">
        <v>344</v>
      </c>
      <c r="B554" s="174" t="s">
        <v>456</v>
      </c>
      <c r="C554" s="174" t="s">
        <v>40</v>
      </c>
      <c r="D554" s="133" t="s">
        <v>17</v>
      </c>
      <c r="E554" s="162" t="s">
        <v>25</v>
      </c>
      <c r="F554" s="41">
        <v>2</v>
      </c>
      <c r="G554" s="322">
        <v>418.9</v>
      </c>
      <c r="H554" s="210" t="s">
        <v>63</v>
      </c>
      <c r="I554" s="224"/>
      <c r="L554" s="166"/>
    </row>
    <row r="555" spans="1:12" s="6" customFormat="1" ht="30" customHeight="1">
      <c r="A555" s="37">
        <v>345</v>
      </c>
      <c r="B555" s="214" t="s">
        <v>457</v>
      </c>
      <c r="C555" s="174" t="s">
        <v>24</v>
      </c>
      <c r="D555" s="133" t="s">
        <v>17</v>
      </c>
      <c r="E555" s="162" t="s">
        <v>22</v>
      </c>
      <c r="F555" s="41">
        <v>1</v>
      </c>
      <c r="G555" s="322">
        <v>35.37</v>
      </c>
      <c r="H555" s="210" t="s">
        <v>63</v>
      </c>
      <c r="I555" s="224"/>
      <c r="L555" s="166"/>
    </row>
    <row r="556" spans="1:12" s="6" customFormat="1" ht="29.25" customHeight="1">
      <c r="A556" s="37">
        <v>346</v>
      </c>
      <c r="B556" s="174" t="s">
        <v>458</v>
      </c>
      <c r="C556" s="174" t="s">
        <v>40</v>
      </c>
      <c r="D556" s="133" t="s">
        <v>17</v>
      </c>
      <c r="E556" s="162" t="s">
        <v>306</v>
      </c>
      <c r="F556" s="41">
        <v>4</v>
      </c>
      <c r="G556" s="322">
        <v>971.84</v>
      </c>
      <c r="H556" s="210" t="s">
        <v>63</v>
      </c>
      <c r="I556" s="224"/>
      <c r="L556" s="166"/>
    </row>
    <row r="557" spans="1:12" s="6" customFormat="1" ht="60" customHeight="1">
      <c r="A557" s="37">
        <v>347</v>
      </c>
      <c r="B557" s="174" t="s">
        <v>459</v>
      </c>
      <c r="C557" s="214" t="s">
        <v>460</v>
      </c>
      <c r="D557" s="133" t="s">
        <v>17</v>
      </c>
      <c r="E557" s="162" t="s">
        <v>306</v>
      </c>
      <c r="F557" s="41">
        <v>6</v>
      </c>
      <c r="G557" s="322">
        <v>564</v>
      </c>
      <c r="H557" s="210" t="s">
        <v>63</v>
      </c>
      <c r="I557" s="224"/>
      <c r="L557" s="166"/>
    </row>
    <row r="558" spans="1:12" s="6" customFormat="1" ht="30" customHeight="1">
      <c r="A558" s="37">
        <v>348</v>
      </c>
      <c r="B558" s="212" t="s">
        <v>461</v>
      </c>
      <c r="C558" s="174" t="s">
        <v>24</v>
      </c>
      <c r="D558" s="133" t="s">
        <v>17</v>
      </c>
      <c r="E558" s="162" t="s">
        <v>306</v>
      </c>
      <c r="F558" s="41">
        <v>2</v>
      </c>
      <c r="G558" s="322">
        <v>500</v>
      </c>
      <c r="H558" s="210" t="s">
        <v>63</v>
      </c>
      <c r="I558" s="224"/>
      <c r="L558" s="166"/>
    </row>
    <row r="559" spans="1:12" s="6" customFormat="1" ht="45" customHeight="1">
      <c r="A559" s="37">
        <v>349</v>
      </c>
      <c r="B559" s="174" t="s">
        <v>462</v>
      </c>
      <c r="C559" s="214" t="s">
        <v>38</v>
      </c>
      <c r="D559" s="133" t="s">
        <v>17</v>
      </c>
      <c r="E559" s="162" t="s">
        <v>306</v>
      </c>
      <c r="F559" s="41">
        <v>6</v>
      </c>
      <c r="G559" s="322">
        <v>1032</v>
      </c>
      <c r="H559" s="210" t="s">
        <v>63</v>
      </c>
      <c r="I559" s="224"/>
      <c r="L559" s="166"/>
    </row>
    <row r="560" spans="1:12" s="6" customFormat="1" ht="30" customHeight="1">
      <c r="A560" s="37">
        <v>350</v>
      </c>
      <c r="B560" s="212" t="s">
        <v>463</v>
      </c>
      <c r="C560" s="214" t="s">
        <v>44</v>
      </c>
      <c r="D560" s="133" t="s">
        <v>17</v>
      </c>
      <c r="E560" s="162" t="s">
        <v>306</v>
      </c>
      <c r="F560" s="41">
        <v>15</v>
      </c>
      <c r="G560" s="322">
        <v>300</v>
      </c>
      <c r="H560" s="210" t="s">
        <v>63</v>
      </c>
      <c r="I560" s="224"/>
      <c r="L560" s="166"/>
    </row>
    <row r="561" spans="1:12" s="6" customFormat="1" ht="60" customHeight="1">
      <c r="A561" s="37">
        <v>351</v>
      </c>
      <c r="B561" s="212" t="s">
        <v>464</v>
      </c>
      <c r="C561" s="174" t="s">
        <v>47</v>
      </c>
      <c r="D561" s="133" t="s">
        <v>17</v>
      </c>
      <c r="E561" s="162" t="s">
        <v>48</v>
      </c>
      <c r="F561" s="41">
        <v>10</v>
      </c>
      <c r="G561" s="322">
        <v>550</v>
      </c>
      <c r="H561" s="210" t="s">
        <v>63</v>
      </c>
      <c r="I561" s="224"/>
      <c r="L561" s="166"/>
    </row>
    <row r="562" spans="1:12" s="6" customFormat="1" ht="30" customHeight="1">
      <c r="A562" s="37">
        <v>352</v>
      </c>
      <c r="B562" s="174" t="s">
        <v>51</v>
      </c>
      <c r="C562" s="174" t="s">
        <v>52</v>
      </c>
      <c r="D562" s="133" t="s">
        <v>17</v>
      </c>
      <c r="E562" s="138" t="s">
        <v>25</v>
      </c>
      <c r="F562" s="215">
        <v>34</v>
      </c>
      <c r="G562" s="323">
        <v>676.94</v>
      </c>
      <c r="H562" s="210" t="s">
        <v>63</v>
      </c>
      <c r="I562" s="224"/>
      <c r="L562" s="166"/>
    </row>
    <row r="563" spans="1:12" ht="30" customHeight="1">
      <c r="A563" s="37">
        <v>353</v>
      </c>
      <c r="B563" s="38" t="s">
        <v>57</v>
      </c>
      <c r="C563" s="40" t="s">
        <v>58</v>
      </c>
      <c r="D563" s="40" t="s">
        <v>17</v>
      </c>
      <c r="E563" s="41" t="s">
        <v>25</v>
      </c>
      <c r="F563" s="41">
        <v>1</v>
      </c>
      <c r="G563" s="295">
        <v>2500.2</v>
      </c>
      <c r="H563" s="40" t="s">
        <v>63</v>
      </c>
      <c r="I563" s="224"/>
      <c r="L563" s="74"/>
    </row>
    <row r="564" spans="1:12" s="6" customFormat="1" ht="45" customHeight="1">
      <c r="A564" s="37">
        <v>354</v>
      </c>
      <c r="B564" s="174" t="s">
        <v>465</v>
      </c>
      <c r="C564" s="174" t="s">
        <v>204</v>
      </c>
      <c r="D564" s="133" t="s">
        <v>17</v>
      </c>
      <c r="E564" s="138" t="s">
        <v>126</v>
      </c>
      <c r="F564" s="217">
        <v>4.5</v>
      </c>
      <c r="G564" s="323">
        <v>15297.26</v>
      </c>
      <c r="H564" s="210" t="s">
        <v>63</v>
      </c>
      <c r="I564" s="224"/>
      <c r="L564" s="166"/>
    </row>
    <row r="565" spans="1:12" s="6" customFormat="1" ht="45" customHeight="1">
      <c r="A565" s="37">
        <v>355</v>
      </c>
      <c r="B565" s="174" t="s">
        <v>466</v>
      </c>
      <c r="C565" s="174" t="s">
        <v>204</v>
      </c>
      <c r="D565" s="133" t="s">
        <v>17</v>
      </c>
      <c r="E565" s="138" t="s">
        <v>126</v>
      </c>
      <c r="F565" s="3">
        <v>31.97</v>
      </c>
      <c r="G565" s="37">
        <v>84607.65</v>
      </c>
      <c r="H565" s="210" t="s">
        <v>63</v>
      </c>
      <c r="I565" s="224"/>
      <c r="L565" s="166"/>
    </row>
    <row r="566" spans="1:12" s="6" customFormat="1" ht="45" customHeight="1">
      <c r="A566" s="37">
        <v>356</v>
      </c>
      <c r="B566" s="174" t="s">
        <v>467</v>
      </c>
      <c r="C566" s="174" t="s">
        <v>168</v>
      </c>
      <c r="D566" s="133" t="s">
        <v>17</v>
      </c>
      <c r="E566" s="138" t="s">
        <v>306</v>
      </c>
      <c r="F566" s="215">
        <v>12</v>
      </c>
      <c r="G566" s="323">
        <v>3840</v>
      </c>
      <c r="H566" s="210" t="s">
        <v>63</v>
      </c>
      <c r="I566" s="224"/>
      <c r="L566" s="166"/>
    </row>
    <row r="567" spans="1:12" s="6" customFormat="1" ht="45" customHeight="1">
      <c r="A567" s="37">
        <v>357</v>
      </c>
      <c r="B567" s="174" t="s">
        <v>672</v>
      </c>
      <c r="C567" s="174" t="s">
        <v>204</v>
      </c>
      <c r="D567" s="133" t="s">
        <v>17</v>
      </c>
      <c r="E567" s="138" t="s">
        <v>126</v>
      </c>
      <c r="F567" s="220">
        <v>8.46</v>
      </c>
      <c r="G567" s="323">
        <v>7698.6</v>
      </c>
      <c r="H567" s="210" t="s">
        <v>63</v>
      </c>
      <c r="I567" s="224"/>
      <c r="L567" s="166"/>
    </row>
    <row r="568" spans="1:12" s="6" customFormat="1" ht="45" customHeight="1">
      <c r="A568" s="37">
        <v>358</v>
      </c>
      <c r="B568" s="174" t="s">
        <v>673</v>
      </c>
      <c r="C568" s="174" t="s">
        <v>209</v>
      </c>
      <c r="D568" s="133" t="s">
        <v>17</v>
      </c>
      <c r="E568" s="138" t="s">
        <v>674</v>
      </c>
      <c r="F568" s="220">
        <v>2.82</v>
      </c>
      <c r="G568" s="323">
        <v>318.66</v>
      </c>
      <c r="H568" s="210" t="s">
        <v>63</v>
      </c>
      <c r="I568" s="224"/>
      <c r="L568" s="166"/>
    </row>
    <row r="569" spans="1:14" s="10" customFormat="1" ht="30" customHeight="1">
      <c r="A569" s="296"/>
      <c r="B569" s="260" t="s">
        <v>59</v>
      </c>
      <c r="C569" s="261"/>
      <c r="D569" s="262"/>
      <c r="E569" s="263"/>
      <c r="F569" s="263"/>
      <c r="G569" s="297">
        <f>SUM(G535:G568)</f>
        <v>135748</v>
      </c>
      <c r="H569" s="265"/>
      <c r="I569" s="224"/>
      <c r="K569" s="267">
        <f>SUM(K535:K568)</f>
        <v>0</v>
      </c>
      <c r="L569" s="267">
        <f>SUM(L535:L568)</f>
        <v>1266.92</v>
      </c>
      <c r="N569" s="267">
        <f>K569-M569</f>
        <v>0</v>
      </c>
    </row>
    <row r="570" spans="1:14" ht="30" customHeight="1">
      <c r="A570" s="37">
        <v>359</v>
      </c>
      <c r="B570" s="38" t="s">
        <v>220</v>
      </c>
      <c r="C570" s="40" t="s">
        <v>221</v>
      </c>
      <c r="D570" s="40" t="s">
        <v>62</v>
      </c>
      <c r="E570" s="41" t="s">
        <v>34</v>
      </c>
      <c r="F570" s="222">
        <v>15</v>
      </c>
      <c r="G570" s="324">
        <v>201</v>
      </c>
      <c r="H570" s="210" t="s">
        <v>63</v>
      </c>
      <c r="I570" s="224"/>
      <c r="K570" s="74"/>
      <c r="L570" s="74"/>
      <c r="N570" s="74"/>
    </row>
    <row r="571" spans="1:14" ht="30" customHeight="1">
      <c r="A571" s="37">
        <v>360</v>
      </c>
      <c r="B571" s="38" t="s">
        <v>216</v>
      </c>
      <c r="C571" s="40" t="s">
        <v>217</v>
      </c>
      <c r="D571" s="40" t="s">
        <v>62</v>
      </c>
      <c r="E571" s="41" t="s">
        <v>34</v>
      </c>
      <c r="F571" s="222">
        <v>60</v>
      </c>
      <c r="G571" s="324">
        <f>313.5+823.5</f>
        <v>1137</v>
      </c>
      <c r="H571" s="210" t="s">
        <v>63</v>
      </c>
      <c r="I571" s="224"/>
      <c r="K571" s="74"/>
      <c r="L571" s="74"/>
      <c r="N571" s="74"/>
    </row>
    <row r="572" spans="1:14" ht="30" customHeight="1">
      <c r="A572" s="37">
        <v>361</v>
      </c>
      <c r="B572" s="38" t="s">
        <v>64</v>
      </c>
      <c r="C572" s="40" t="s">
        <v>65</v>
      </c>
      <c r="D572" s="40" t="s">
        <v>62</v>
      </c>
      <c r="E572" s="41" t="s">
        <v>34</v>
      </c>
      <c r="F572" s="222">
        <v>500</v>
      </c>
      <c r="G572" s="324">
        <f>1750+6720</f>
        <v>8470</v>
      </c>
      <c r="H572" s="210" t="s">
        <v>63</v>
      </c>
      <c r="I572" s="224"/>
      <c r="K572" s="74"/>
      <c r="L572" s="74"/>
      <c r="N572" s="74"/>
    </row>
    <row r="573" spans="1:14" ht="30" customHeight="1">
      <c r="A573" s="37">
        <v>362</v>
      </c>
      <c r="B573" s="71" t="s">
        <v>218</v>
      </c>
      <c r="C573" s="40" t="s">
        <v>219</v>
      </c>
      <c r="D573" s="40" t="s">
        <v>62</v>
      </c>
      <c r="E573" s="41" t="s">
        <v>34</v>
      </c>
      <c r="F573" s="222">
        <v>5</v>
      </c>
      <c r="G573" s="324">
        <f>45.6+69</f>
        <v>114.6</v>
      </c>
      <c r="H573" s="210" t="s">
        <v>63</v>
      </c>
      <c r="I573" s="224"/>
      <c r="K573" s="74"/>
      <c r="L573" s="74"/>
      <c r="N573" s="74"/>
    </row>
    <row r="574" spans="1:14" ht="30" customHeight="1">
      <c r="A574" s="37">
        <v>363</v>
      </c>
      <c r="B574" s="38" t="s">
        <v>71</v>
      </c>
      <c r="C574" s="71" t="s">
        <v>72</v>
      </c>
      <c r="D574" s="40" t="s">
        <v>62</v>
      </c>
      <c r="E574" s="41" t="s">
        <v>34</v>
      </c>
      <c r="F574" s="222">
        <v>90</v>
      </c>
      <c r="G574" s="324">
        <f>340+1071</f>
        <v>1411</v>
      </c>
      <c r="H574" s="210" t="s">
        <v>63</v>
      </c>
      <c r="I574" s="224"/>
      <c r="K574" s="74"/>
      <c r="L574" s="74"/>
      <c r="N574" s="74"/>
    </row>
    <row r="575" spans="1:14" ht="30" customHeight="1">
      <c r="A575" s="37">
        <v>364</v>
      </c>
      <c r="B575" s="38" t="s">
        <v>73</v>
      </c>
      <c r="C575" s="40" t="s">
        <v>74</v>
      </c>
      <c r="D575" s="40" t="s">
        <v>62</v>
      </c>
      <c r="E575" s="41" t="s">
        <v>34</v>
      </c>
      <c r="F575" s="222">
        <v>40</v>
      </c>
      <c r="G575" s="324">
        <f>488+460</f>
        <v>948</v>
      </c>
      <c r="H575" s="210" t="s">
        <v>63</v>
      </c>
      <c r="I575" s="224"/>
      <c r="K575" s="74"/>
      <c r="L575" s="74"/>
      <c r="N575" s="74"/>
    </row>
    <row r="576" spans="1:14" ht="30" customHeight="1">
      <c r="A576" s="37">
        <v>365</v>
      </c>
      <c r="B576" s="38" t="s">
        <v>75</v>
      </c>
      <c r="C576" s="71" t="s">
        <v>76</v>
      </c>
      <c r="D576" s="40" t="s">
        <v>62</v>
      </c>
      <c r="E576" s="41" t="s">
        <v>77</v>
      </c>
      <c r="F576" s="222">
        <v>45</v>
      </c>
      <c r="G576" s="324">
        <f>727+2667</f>
        <v>3394</v>
      </c>
      <c r="H576" s="210" t="s">
        <v>63</v>
      </c>
      <c r="I576" s="224"/>
      <c r="K576" s="74"/>
      <c r="L576" s="74"/>
      <c r="N576" s="74"/>
    </row>
    <row r="577" spans="1:14" ht="30" customHeight="1">
      <c r="A577" s="37">
        <v>366</v>
      </c>
      <c r="B577" s="38" t="s">
        <v>78</v>
      </c>
      <c r="C577" s="40" t="s">
        <v>79</v>
      </c>
      <c r="D577" s="40" t="s">
        <v>62</v>
      </c>
      <c r="E577" s="41" t="s">
        <v>34</v>
      </c>
      <c r="F577" s="222">
        <v>40</v>
      </c>
      <c r="G577" s="324">
        <f>1538+10776.5</f>
        <v>12314.5</v>
      </c>
      <c r="H577" s="210" t="s">
        <v>63</v>
      </c>
      <c r="I577" s="224"/>
      <c r="K577" s="74"/>
      <c r="L577" s="74"/>
      <c r="N577" s="74"/>
    </row>
    <row r="578" spans="1:14" ht="45" customHeight="1">
      <c r="A578" s="37">
        <v>367</v>
      </c>
      <c r="B578" s="38" t="s">
        <v>80</v>
      </c>
      <c r="C578" s="40" t="s">
        <v>81</v>
      </c>
      <c r="D578" s="40" t="s">
        <v>62</v>
      </c>
      <c r="E578" s="41" t="s">
        <v>82</v>
      </c>
      <c r="F578" s="222">
        <f>9.9+42.3</f>
        <v>52.199999999999996</v>
      </c>
      <c r="G578" s="324">
        <f>425.7+1683.54</f>
        <v>2109.24</v>
      </c>
      <c r="H578" s="210" t="s">
        <v>63</v>
      </c>
      <c r="I578" s="224"/>
      <c r="K578" s="74"/>
      <c r="L578" s="74"/>
      <c r="N578" s="74"/>
    </row>
    <row r="579" spans="1:14" ht="30" customHeight="1">
      <c r="A579" s="37">
        <v>368</v>
      </c>
      <c r="B579" s="38" t="s">
        <v>83</v>
      </c>
      <c r="C579" s="40" t="s">
        <v>72</v>
      </c>
      <c r="D579" s="40" t="s">
        <v>62</v>
      </c>
      <c r="E579" s="41" t="s">
        <v>34</v>
      </c>
      <c r="F579" s="222">
        <v>106</v>
      </c>
      <c r="G579" s="324">
        <f>975+1725.2</f>
        <v>2700.2</v>
      </c>
      <c r="H579" s="210" t="s">
        <v>63</v>
      </c>
      <c r="I579" s="224"/>
      <c r="K579" s="74"/>
      <c r="L579" s="74"/>
      <c r="N579" s="74"/>
    </row>
    <row r="580" spans="1:14" ht="45" customHeight="1">
      <c r="A580" s="37">
        <v>369</v>
      </c>
      <c r="B580" s="38" t="s">
        <v>84</v>
      </c>
      <c r="C580" s="40" t="s">
        <v>85</v>
      </c>
      <c r="D580" s="40" t="s">
        <v>62</v>
      </c>
      <c r="E580" s="41" t="s">
        <v>34</v>
      </c>
      <c r="F580" s="222">
        <f>19.5</f>
        <v>19.5</v>
      </c>
      <c r="G580" s="324">
        <f>758.55+1536.6</f>
        <v>2295.1499999999996</v>
      </c>
      <c r="H580" s="210" t="s">
        <v>63</v>
      </c>
      <c r="I580" s="224"/>
      <c r="K580" s="74"/>
      <c r="L580" s="74"/>
      <c r="N580" s="74"/>
    </row>
    <row r="581" spans="1:14" ht="30" customHeight="1">
      <c r="A581" s="37">
        <v>370</v>
      </c>
      <c r="B581" s="38" t="s">
        <v>665</v>
      </c>
      <c r="C581" s="40" t="s">
        <v>666</v>
      </c>
      <c r="D581" s="40" t="s">
        <v>62</v>
      </c>
      <c r="E581" s="41" t="s">
        <v>34</v>
      </c>
      <c r="F581" s="222">
        <v>122</v>
      </c>
      <c r="G581" s="324">
        <v>15591.6</v>
      </c>
      <c r="H581" s="210" t="s">
        <v>63</v>
      </c>
      <c r="I581" s="224"/>
      <c r="K581" s="74"/>
      <c r="L581" s="74"/>
      <c r="N581" s="74"/>
    </row>
    <row r="582" spans="1:14" ht="30" customHeight="1">
      <c r="A582" s="37">
        <v>371</v>
      </c>
      <c r="B582" s="38" t="s">
        <v>268</v>
      </c>
      <c r="C582" s="40" t="s">
        <v>70</v>
      </c>
      <c r="D582" s="40" t="s">
        <v>62</v>
      </c>
      <c r="E582" s="41" t="s">
        <v>34</v>
      </c>
      <c r="F582" s="222">
        <v>6</v>
      </c>
      <c r="G582" s="324">
        <f>40+82.8</f>
        <v>122.8</v>
      </c>
      <c r="H582" s="210" t="s">
        <v>63</v>
      </c>
      <c r="I582" s="224"/>
      <c r="K582" s="74"/>
      <c r="L582" s="74"/>
      <c r="N582" s="74"/>
    </row>
    <row r="583" spans="1:14" ht="30" customHeight="1">
      <c r="A583" s="37">
        <v>372</v>
      </c>
      <c r="B583" s="38" t="s">
        <v>88</v>
      </c>
      <c r="C583" s="40" t="s">
        <v>85</v>
      </c>
      <c r="D583" s="40" t="s">
        <v>62</v>
      </c>
      <c r="E583" s="41" t="s">
        <v>34</v>
      </c>
      <c r="F583" s="222">
        <v>55</v>
      </c>
      <c r="G583" s="324">
        <f>1233+5607</f>
        <v>6840</v>
      </c>
      <c r="H583" s="210" t="s">
        <v>63</v>
      </c>
      <c r="I583" s="224"/>
      <c r="K583" s="74"/>
      <c r="L583" s="74"/>
      <c r="N583" s="74"/>
    </row>
    <row r="584" spans="1:14" ht="45" customHeight="1">
      <c r="A584" s="37">
        <v>373</v>
      </c>
      <c r="B584" s="38" t="s">
        <v>60</v>
      </c>
      <c r="C584" s="40" t="s">
        <v>61</v>
      </c>
      <c r="D584" s="40" t="s">
        <v>62</v>
      </c>
      <c r="E584" s="41" t="s">
        <v>34</v>
      </c>
      <c r="F584" s="222">
        <v>10</v>
      </c>
      <c r="G584" s="324">
        <v>436</v>
      </c>
      <c r="H584" s="210" t="s">
        <v>63</v>
      </c>
      <c r="I584" s="224"/>
      <c r="K584" s="74"/>
      <c r="L584" s="74"/>
      <c r="N584" s="74"/>
    </row>
    <row r="585" spans="1:14" ht="30" customHeight="1">
      <c r="A585" s="37">
        <v>374</v>
      </c>
      <c r="B585" s="38" t="s">
        <v>89</v>
      </c>
      <c r="C585" s="40" t="s">
        <v>90</v>
      </c>
      <c r="D585" s="40" t="s">
        <v>62</v>
      </c>
      <c r="E585" s="41" t="s">
        <v>34</v>
      </c>
      <c r="F585" s="222">
        <v>55</v>
      </c>
      <c r="G585" s="324">
        <f>745.5+1980</f>
        <v>2725.5</v>
      </c>
      <c r="H585" s="210" t="s">
        <v>63</v>
      </c>
      <c r="I585" s="224"/>
      <c r="K585" s="74"/>
      <c r="L585" s="74"/>
      <c r="N585" s="74"/>
    </row>
    <row r="586" spans="1:14" ht="30" customHeight="1">
      <c r="A586" s="37">
        <v>375</v>
      </c>
      <c r="B586" s="38" t="s">
        <v>91</v>
      </c>
      <c r="C586" s="40" t="s">
        <v>92</v>
      </c>
      <c r="D586" s="40" t="s">
        <v>62</v>
      </c>
      <c r="E586" s="41" t="s">
        <v>34</v>
      </c>
      <c r="F586" s="222">
        <f>15+75</f>
        <v>90</v>
      </c>
      <c r="G586" s="324">
        <f>2506.5+12540</f>
        <v>15046.5</v>
      </c>
      <c r="H586" s="210" t="s">
        <v>63</v>
      </c>
      <c r="I586" s="224"/>
      <c r="K586" s="74"/>
      <c r="L586" s="74"/>
      <c r="N586" s="74"/>
    </row>
    <row r="587" spans="1:14" ht="30" customHeight="1">
      <c r="A587" s="37">
        <v>376</v>
      </c>
      <c r="B587" s="38" t="s">
        <v>274</v>
      </c>
      <c r="C587" s="40" t="s">
        <v>275</v>
      </c>
      <c r="D587" s="40" t="s">
        <v>62</v>
      </c>
      <c r="E587" s="41" t="s">
        <v>34</v>
      </c>
      <c r="F587" s="222">
        <v>150</v>
      </c>
      <c r="G587" s="324">
        <f>1800+3900</f>
        <v>5700</v>
      </c>
      <c r="H587" s="210" t="s">
        <v>63</v>
      </c>
      <c r="I587" s="224"/>
      <c r="K587" s="74"/>
      <c r="L587" s="74"/>
      <c r="N587" s="74"/>
    </row>
    <row r="588" spans="1:14" ht="30" customHeight="1">
      <c r="A588" s="37">
        <v>377</v>
      </c>
      <c r="B588" s="38" t="s">
        <v>222</v>
      </c>
      <c r="C588" s="40" t="s">
        <v>223</v>
      </c>
      <c r="D588" s="40" t="s">
        <v>62</v>
      </c>
      <c r="E588" s="41" t="s">
        <v>34</v>
      </c>
      <c r="F588" s="222">
        <v>65</v>
      </c>
      <c r="G588" s="324">
        <f>300+960</f>
        <v>1260</v>
      </c>
      <c r="H588" s="210" t="s">
        <v>63</v>
      </c>
      <c r="I588" s="224"/>
      <c r="K588" s="74"/>
      <c r="L588" s="74"/>
      <c r="N588" s="74"/>
    </row>
    <row r="589" spans="1:14" ht="30" customHeight="1">
      <c r="A589" s="37">
        <v>378</v>
      </c>
      <c r="B589" s="38" t="s">
        <v>93</v>
      </c>
      <c r="C589" s="40" t="s">
        <v>94</v>
      </c>
      <c r="D589" s="40" t="s">
        <v>62</v>
      </c>
      <c r="E589" s="41" t="s">
        <v>34</v>
      </c>
      <c r="F589" s="222">
        <f>3.8+29.2</f>
        <v>33</v>
      </c>
      <c r="G589" s="324">
        <f>489.82+3796</f>
        <v>4285.82</v>
      </c>
      <c r="H589" s="210" t="s">
        <v>63</v>
      </c>
      <c r="I589" s="224"/>
      <c r="K589" s="74"/>
      <c r="L589" s="74"/>
      <c r="N589" s="74"/>
    </row>
    <row r="590" spans="1:14" ht="30" customHeight="1">
      <c r="A590" s="37">
        <v>379</v>
      </c>
      <c r="B590" s="38" t="s">
        <v>224</v>
      </c>
      <c r="C590" s="40" t="s">
        <v>225</v>
      </c>
      <c r="D590" s="40" t="s">
        <v>62</v>
      </c>
      <c r="E590" s="41" t="s">
        <v>34</v>
      </c>
      <c r="F590" s="222">
        <v>15</v>
      </c>
      <c r="G590" s="324">
        <f>62+127</f>
        <v>189</v>
      </c>
      <c r="H590" s="210" t="s">
        <v>63</v>
      </c>
      <c r="I590" s="224"/>
      <c r="K590" s="74"/>
      <c r="L590" s="74"/>
      <c r="N590" s="74"/>
    </row>
    <row r="591" spans="1:14" ht="30" customHeight="1">
      <c r="A591" s="37">
        <v>380</v>
      </c>
      <c r="B591" s="40" t="s">
        <v>226</v>
      </c>
      <c r="C591" s="40" t="s">
        <v>227</v>
      </c>
      <c r="D591" s="40" t="s">
        <v>62</v>
      </c>
      <c r="E591" s="41" t="s">
        <v>34</v>
      </c>
      <c r="F591" s="222">
        <v>15</v>
      </c>
      <c r="G591" s="324">
        <f>673.75+1387</f>
        <v>2060.75</v>
      </c>
      <c r="H591" s="210" t="s">
        <v>63</v>
      </c>
      <c r="I591" s="224"/>
      <c r="K591" s="74"/>
      <c r="L591" s="74"/>
      <c r="N591" s="74"/>
    </row>
    <row r="592" spans="1:14" ht="30" customHeight="1">
      <c r="A592" s="37">
        <v>381</v>
      </c>
      <c r="B592" s="40" t="s">
        <v>276</v>
      </c>
      <c r="C592" s="40" t="s">
        <v>277</v>
      </c>
      <c r="D592" s="40" t="s">
        <v>62</v>
      </c>
      <c r="E592" s="41" t="s">
        <v>34</v>
      </c>
      <c r="F592" s="222">
        <v>20</v>
      </c>
      <c r="G592" s="324">
        <f>1278.9+2464.8</f>
        <v>3743.7000000000003</v>
      </c>
      <c r="H592" s="210" t="s">
        <v>63</v>
      </c>
      <c r="I592" s="224"/>
      <c r="K592" s="74"/>
      <c r="L592" s="74"/>
      <c r="N592" s="74"/>
    </row>
    <row r="593" spans="1:14" ht="30" customHeight="1">
      <c r="A593" s="37">
        <v>382</v>
      </c>
      <c r="B593" s="40" t="s">
        <v>95</v>
      </c>
      <c r="C593" s="40" t="s">
        <v>96</v>
      </c>
      <c r="D593" s="40" t="s">
        <v>62</v>
      </c>
      <c r="E593" s="41" t="s">
        <v>34</v>
      </c>
      <c r="F593" s="222">
        <v>75</v>
      </c>
      <c r="G593" s="324">
        <f>2788.5+12696</f>
        <v>15484.5</v>
      </c>
      <c r="H593" s="210" t="s">
        <v>63</v>
      </c>
      <c r="I593" s="224"/>
      <c r="K593" s="74"/>
      <c r="L593" s="74"/>
      <c r="N593" s="74"/>
    </row>
    <row r="594" spans="1:14" ht="30" customHeight="1">
      <c r="A594" s="37">
        <v>383</v>
      </c>
      <c r="B594" s="40" t="s">
        <v>667</v>
      </c>
      <c r="C594" s="40" t="s">
        <v>668</v>
      </c>
      <c r="D594" s="40" t="s">
        <v>62</v>
      </c>
      <c r="E594" s="41" t="s">
        <v>34</v>
      </c>
      <c r="F594" s="222">
        <v>100</v>
      </c>
      <c r="G594" s="324">
        <v>23000</v>
      </c>
      <c r="H594" s="210" t="s">
        <v>63</v>
      </c>
      <c r="I594" s="224"/>
      <c r="K594" s="74"/>
      <c r="L594" s="74"/>
      <c r="N594" s="74"/>
    </row>
    <row r="595" spans="1:14" ht="45" customHeight="1">
      <c r="A595" s="37">
        <v>384</v>
      </c>
      <c r="B595" s="54" t="s">
        <v>98</v>
      </c>
      <c r="C595" s="40" t="s">
        <v>61</v>
      </c>
      <c r="D595" s="40" t="s">
        <v>62</v>
      </c>
      <c r="E595" s="41" t="s">
        <v>25</v>
      </c>
      <c r="F595" s="222">
        <v>600</v>
      </c>
      <c r="G595" s="324">
        <f>7590+9.18+109.2</f>
        <v>7708.38</v>
      </c>
      <c r="H595" s="210" t="s">
        <v>63</v>
      </c>
      <c r="I595" s="224"/>
      <c r="K595" s="74"/>
      <c r="L595" s="74"/>
      <c r="N595" s="74"/>
    </row>
    <row r="596" spans="1:14" ht="30" customHeight="1">
      <c r="A596" s="37">
        <v>385</v>
      </c>
      <c r="B596" s="40" t="s">
        <v>99</v>
      </c>
      <c r="C596" s="40" t="s">
        <v>100</v>
      </c>
      <c r="D596" s="40" t="s">
        <v>62</v>
      </c>
      <c r="E596" s="41" t="s">
        <v>34</v>
      </c>
      <c r="F596" s="222">
        <v>60.3</v>
      </c>
      <c r="G596" s="324">
        <f>3081.76+15310</f>
        <v>18391.760000000002</v>
      </c>
      <c r="H596" s="210" t="s">
        <v>63</v>
      </c>
      <c r="I596" s="224"/>
      <c r="K596" s="74"/>
      <c r="L596" s="74"/>
      <c r="N596" s="74"/>
    </row>
    <row r="597" spans="1:14" ht="30" customHeight="1">
      <c r="A597" s="37">
        <v>386</v>
      </c>
      <c r="B597" s="40" t="s">
        <v>228</v>
      </c>
      <c r="C597" s="40" t="s">
        <v>229</v>
      </c>
      <c r="D597" s="40" t="s">
        <v>62</v>
      </c>
      <c r="E597" s="41" t="s">
        <v>34</v>
      </c>
      <c r="F597" s="222">
        <v>60</v>
      </c>
      <c r="G597" s="324">
        <f>742.5+1840.5</f>
        <v>2583</v>
      </c>
      <c r="H597" s="210" t="s">
        <v>63</v>
      </c>
      <c r="I597" s="224"/>
      <c r="K597" s="74"/>
      <c r="L597" s="74"/>
      <c r="N597" s="74"/>
    </row>
    <row r="598" spans="1:14" ht="30" customHeight="1">
      <c r="A598" s="37">
        <v>387</v>
      </c>
      <c r="B598" s="40" t="s">
        <v>103</v>
      </c>
      <c r="C598" s="40" t="s">
        <v>104</v>
      </c>
      <c r="D598" s="40" t="s">
        <v>62</v>
      </c>
      <c r="E598" s="41" t="s">
        <v>25</v>
      </c>
      <c r="F598" s="222">
        <v>2000</v>
      </c>
      <c r="G598" s="324">
        <v>9280</v>
      </c>
      <c r="H598" s="210" t="s">
        <v>63</v>
      </c>
      <c r="I598" s="224"/>
      <c r="K598" s="74"/>
      <c r="L598" s="74"/>
      <c r="N598" s="74"/>
    </row>
    <row r="599" spans="1:14" ht="30" customHeight="1">
      <c r="A599" s="37">
        <v>388</v>
      </c>
      <c r="B599" s="40" t="s">
        <v>230</v>
      </c>
      <c r="C599" s="40" t="s">
        <v>231</v>
      </c>
      <c r="D599" s="40" t="s">
        <v>62</v>
      </c>
      <c r="E599" s="41" t="s">
        <v>77</v>
      </c>
      <c r="F599" s="222">
        <v>40</v>
      </c>
      <c r="G599" s="324">
        <f>586+1803</f>
        <v>2389</v>
      </c>
      <c r="H599" s="210" t="s">
        <v>63</v>
      </c>
      <c r="I599" s="224"/>
      <c r="K599" s="74"/>
      <c r="L599" s="74"/>
      <c r="N599" s="74"/>
    </row>
    <row r="600" spans="1:14" ht="30" customHeight="1">
      <c r="A600" s="37">
        <v>389</v>
      </c>
      <c r="B600" s="38" t="s">
        <v>468</v>
      </c>
      <c r="C600" s="40" t="s">
        <v>85</v>
      </c>
      <c r="D600" s="40" t="s">
        <v>62</v>
      </c>
      <c r="E600" s="41" t="s">
        <v>25</v>
      </c>
      <c r="F600" s="222">
        <v>20</v>
      </c>
      <c r="G600" s="324">
        <v>2880</v>
      </c>
      <c r="H600" s="210" t="s">
        <v>63</v>
      </c>
      <c r="I600" s="224"/>
      <c r="K600" s="74"/>
      <c r="L600" s="74"/>
      <c r="N600" s="74"/>
    </row>
    <row r="601" spans="1:14" ht="30" customHeight="1">
      <c r="A601" s="37">
        <v>390</v>
      </c>
      <c r="B601" s="38" t="s">
        <v>105</v>
      </c>
      <c r="C601" s="40" t="s">
        <v>70</v>
      </c>
      <c r="D601" s="40" t="s">
        <v>62</v>
      </c>
      <c r="E601" s="41" t="s">
        <v>34</v>
      </c>
      <c r="F601" s="222">
        <v>40</v>
      </c>
      <c r="G601" s="324">
        <f>339+987</f>
        <v>1326</v>
      </c>
      <c r="H601" s="210" t="s">
        <v>63</v>
      </c>
      <c r="I601" s="224"/>
      <c r="K601" s="74"/>
      <c r="L601" s="74"/>
      <c r="N601" s="74"/>
    </row>
    <row r="602" spans="1:14" ht="30" customHeight="1">
      <c r="A602" s="37">
        <v>391</v>
      </c>
      <c r="B602" s="38" t="s">
        <v>278</v>
      </c>
      <c r="C602" s="40" t="s">
        <v>70</v>
      </c>
      <c r="D602" s="40" t="s">
        <v>62</v>
      </c>
      <c r="E602" s="41" t="s">
        <v>34</v>
      </c>
      <c r="F602" s="222">
        <v>10</v>
      </c>
      <c r="G602" s="324">
        <v>181</v>
      </c>
      <c r="H602" s="210" t="s">
        <v>63</v>
      </c>
      <c r="I602" s="224"/>
      <c r="K602" s="74"/>
      <c r="L602" s="74"/>
      <c r="N602" s="74"/>
    </row>
    <row r="603" spans="1:14" s="10" customFormat="1" ht="30" customHeight="1">
      <c r="A603" s="296"/>
      <c r="B603" s="260" t="s">
        <v>106</v>
      </c>
      <c r="C603" s="261"/>
      <c r="D603" s="262"/>
      <c r="E603" s="263"/>
      <c r="F603" s="263"/>
      <c r="G603" s="297">
        <f>SUM(G570:G602)</f>
        <v>176320</v>
      </c>
      <c r="H603" s="265"/>
      <c r="I603" s="224"/>
      <c r="K603" s="267"/>
      <c r="L603" s="267"/>
      <c r="N603" s="267"/>
    </row>
    <row r="604" spans="1:12" ht="30" customHeight="1">
      <c r="A604" s="37">
        <v>392</v>
      </c>
      <c r="B604" s="98" t="s">
        <v>318</v>
      </c>
      <c r="C604" s="99" t="s">
        <v>108</v>
      </c>
      <c r="D604" s="99" t="s">
        <v>109</v>
      </c>
      <c r="E604" s="162" t="s">
        <v>110</v>
      </c>
      <c r="F604" s="41">
        <v>9</v>
      </c>
      <c r="G604" s="53">
        <v>849.6</v>
      </c>
      <c r="H604" s="137" t="s">
        <v>63</v>
      </c>
      <c r="I604" s="224"/>
      <c r="K604" s="12">
        <v>94.4</v>
      </c>
      <c r="L604" s="74">
        <f aca="true" t="shared" si="9" ref="L604:L611">G604-K604</f>
        <v>755.2</v>
      </c>
    </row>
    <row r="605" spans="1:12" ht="30" customHeight="1">
      <c r="A605" s="37">
        <v>393</v>
      </c>
      <c r="B605" s="98" t="s">
        <v>295</v>
      </c>
      <c r="C605" s="99" t="s">
        <v>112</v>
      </c>
      <c r="D605" s="99" t="s">
        <v>109</v>
      </c>
      <c r="E605" s="162" t="s">
        <v>113</v>
      </c>
      <c r="F605" s="41">
        <v>1500</v>
      </c>
      <c r="G605" s="53">
        <v>1800</v>
      </c>
      <c r="H605" s="137" t="s">
        <v>63</v>
      </c>
      <c r="I605" s="224"/>
      <c r="L605" s="74">
        <f t="shared" si="9"/>
        <v>1800</v>
      </c>
    </row>
    <row r="606" spans="1:12" ht="30" customHeight="1">
      <c r="A606" s="37">
        <v>394</v>
      </c>
      <c r="B606" s="38" t="s">
        <v>235</v>
      </c>
      <c r="C606" s="40" t="s">
        <v>116</v>
      </c>
      <c r="D606" s="99" t="s">
        <v>109</v>
      </c>
      <c r="E606" s="41" t="s">
        <v>113</v>
      </c>
      <c r="F606" s="50" t="s">
        <v>117</v>
      </c>
      <c r="G606" s="53">
        <v>492</v>
      </c>
      <c r="H606" s="137" t="s">
        <v>63</v>
      </c>
      <c r="I606" s="224"/>
      <c r="L606" s="74">
        <f t="shared" si="9"/>
        <v>492</v>
      </c>
    </row>
    <row r="607" spans="1:12" ht="45" customHeight="1">
      <c r="A607" s="37">
        <v>395</v>
      </c>
      <c r="B607" s="38" t="s">
        <v>236</v>
      </c>
      <c r="C607" s="40" t="s">
        <v>119</v>
      </c>
      <c r="D607" s="99" t="s">
        <v>109</v>
      </c>
      <c r="E607" s="41" t="s">
        <v>120</v>
      </c>
      <c r="F607" s="41" t="s">
        <v>121</v>
      </c>
      <c r="G607" s="53">
        <v>4576.86</v>
      </c>
      <c r="H607" s="137" t="s">
        <v>63</v>
      </c>
      <c r="I607" s="224"/>
      <c r="K607" s="12">
        <f>800</f>
        <v>800</v>
      </c>
      <c r="L607" s="74">
        <f t="shared" si="9"/>
        <v>3776.8599999999997</v>
      </c>
    </row>
    <row r="608" spans="1:12" ht="30" customHeight="1">
      <c r="A608" s="37">
        <v>396</v>
      </c>
      <c r="B608" s="38" t="s">
        <v>433</v>
      </c>
      <c r="C608" s="40" t="s">
        <v>234</v>
      </c>
      <c r="D608" s="40" t="s">
        <v>109</v>
      </c>
      <c r="E608" s="41" t="s">
        <v>113</v>
      </c>
      <c r="F608" s="41" t="s">
        <v>117</v>
      </c>
      <c r="G608" s="53">
        <v>3780</v>
      </c>
      <c r="H608" s="137" t="s">
        <v>63</v>
      </c>
      <c r="I608" s="224"/>
      <c r="K608" s="12">
        <f>154</f>
        <v>154</v>
      </c>
      <c r="L608" s="74">
        <f t="shared" si="9"/>
        <v>3626</v>
      </c>
    </row>
    <row r="609" spans="1:12" ht="30" customHeight="1">
      <c r="A609" s="37">
        <v>397</v>
      </c>
      <c r="B609" s="98" t="s">
        <v>296</v>
      </c>
      <c r="C609" s="99" t="s">
        <v>326</v>
      </c>
      <c r="D609" s="40" t="s">
        <v>109</v>
      </c>
      <c r="E609" s="41" t="s">
        <v>113</v>
      </c>
      <c r="F609" s="41" t="s">
        <v>117</v>
      </c>
      <c r="G609" s="53">
        <v>1413</v>
      </c>
      <c r="H609" s="137" t="s">
        <v>63</v>
      </c>
      <c r="I609" s="224"/>
      <c r="K609" s="12">
        <f>1418.81</f>
        <v>1418.81</v>
      </c>
      <c r="L609" s="74">
        <f t="shared" si="9"/>
        <v>-5.809999999999945</v>
      </c>
    </row>
    <row r="610" spans="1:12" ht="30" customHeight="1">
      <c r="A610" s="37">
        <v>398</v>
      </c>
      <c r="B610" s="38" t="s">
        <v>286</v>
      </c>
      <c r="C610" s="40" t="s">
        <v>239</v>
      </c>
      <c r="D610" s="40" t="s">
        <v>109</v>
      </c>
      <c r="E610" s="41" t="s">
        <v>285</v>
      </c>
      <c r="F610" s="41">
        <v>444.1</v>
      </c>
      <c r="G610" s="53">
        <v>1314.54</v>
      </c>
      <c r="H610" s="137" t="s">
        <v>19</v>
      </c>
      <c r="I610" s="224"/>
      <c r="K610" s="12">
        <v>1260</v>
      </c>
      <c r="L610" s="74">
        <f t="shared" si="9"/>
        <v>54.539999999999964</v>
      </c>
    </row>
    <row r="611" spans="1:12" ht="30" customHeight="1">
      <c r="A611" s="37">
        <v>399</v>
      </c>
      <c r="B611" s="38" t="s">
        <v>127</v>
      </c>
      <c r="C611" s="40" t="s">
        <v>239</v>
      </c>
      <c r="D611" s="40" t="s">
        <v>109</v>
      </c>
      <c r="E611" s="41" t="s">
        <v>285</v>
      </c>
      <c r="F611" s="41">
        <v>2500</v>
      </c>
      <c r="G611" s="53">
        <v>6450</v>
      </c>
      <c r="H611" s="137" t="s">
        <v>19</v>
      </c>
      <c r="I611" s="224"/>
      <c r="K611" s="12">
        <f>470.96</f>
        <v>470.96</v>
      </c>
      <c r="L611" s="74">
        <f t="shared" si="9"/>
        <v>5979.04</v>
      </c>
    </row>
    <row r="612" spans="1:12" s="10" customFormat="1" ht="30" customHeight="1">
      <c r="A612" s="296"/>
      <c r="B612" s="260" t="s">
        <v>136</v>
      </c>
      <c r="C612" s="261"/>
      <c r="D612" s="262"/>
      <c r="E612" s="263"/>
      <c r="F612" s="263"/>
      <c r="G612" s="297">
        <f>SUM(G604:G611)</f>
        <v>20676</v>
      </c>
      <c r="H612" s="265"/>
      <c r="I612" s="224"/>
      <c r="K612" s="267">
        <f>SUM(K604:K611)</f>
        <v>4198.17</v>
      </c>
      <c r="L612" s="267" t="e">
        <f>SUM(#REF!)</f>
        <v>#REF!</v>
      </c>
    </row>
    <row r="613" spans="1:11" ht="30" customHeight="1">
      <c r="A613" s="37">
        <v>400</v>
      </c>
      <c r="B613" s="38" t="s">
        <v>137</v>
      </c>
      <c r="C613" s="52" t="s">
        <v>138</v>
      </c>
      <c r="D613" s="40" t="s">
        <v>139</v>
      </c>
      <c r="E613" s="41" t="s">
        <v>140</v>
      </c>
      <c r="F613" s="53">
        <f>G613/2878.55</f>
        <v>175.90106129822306</v>
      </c>
      <c r="G613" s="295">
        <v>506340</v>
      </c>
      <c r="H613" s="40" t="s">
        <v>63</v>
      </c>
      <c r="I613" s="224"/>
      <c r="K613" s="12">
        <f>209240</f>
        <v>209240</v>
      </c>
    </row>
    <row r="614" spans="1:9" s="10" customFormat="1" ht="30" customHeight="1">
      <c r="A614" s="296"/>
      <c r="B614" s="260" t="s">
        <v>141</v>
      </c>
      <c r="C614" s="261"/>
      <c r="D614" s="262"/>
      <c r="E614" s="263"/>
      <c r="F614" s="263"/>
      <c r="G614" s="297">
        <f>SUM(G613:G613)</f>
        <v>506340</v>
      </c>
      <c r="H614" s="265"/>
      <c r="I614" s="224"/>
    </row>
    <row r="615" spans="1:9" ht="30" customHeight="1">
      <c r="A615" s="37">
        <v>401</v>
      </c>
      <c r="B615" s="38" t="s">
        <v>244</v>
      </c>
      <c r="C615" s="54" t="s">
        <v>245</v>
      </c>
      <c r="D615" s="40" t="s">
        <v>246</v>
      </c>
      <c r="E615" s="41" t="s">
        <v>110</v>
      </c>
      <c r="F615" s="56">
        <f>G615/12.72</f>
        <v>111.63522012578616</v>
      </c>
      <c r="G615" s="295">
        <v>1420</v>
      </c>
      <c r="H615" s="40" t="s">
        <v>63</v>
      </c>
      <c r="I615" s="224"/>
    </row>
    <row r="616" spans="1:9" s="10" customFormat="1" ht="30" customHeight="1">
      <c r="A616" s="296"/>
      <c r="B616" s="260" t="s">
        <v>247</v>
      </c>
      <c r="C616" s="261"/>
      <c r="D616" s="262"/>
      <c r="E616" s="263"/>
      <c r="F616" s="263"/>
      <c r="G616" s="297">
        <f>SUM(G615:G615)</f>
        <v>1420</v>
      </c>
      <c r="H616" s="265"/>
      <c r="I616" s="224"/>
    </row>
    <row r="617" spans="1:11" ht="30" customHeight="1">
      <c r="A617" s="37">
        <v>402</v>
      </c>
      <c r="B617" s="38" t="s">
        <v>142</v>
      </c>
      <c r="C617" s="54" t="s">
        <v>143</v>
      </c>
      <c r="D617" s="40" t="s">
        <v>144</v>
      </c>
      <c r="E617" s="41" t="s">
        <v>145</v>
      </c>
      <c r="F617" s="56">
        <f>G617/4.14243</f>
        <v>12692.308620785385</v>
      </c>
      <c r="G617" s="295">
        <v>52577</v>
      </c>
      <c r="H617" s="40" t="s">
        <v>63</v>
      </c>
      <c r="I617" s="224"/>
      <c r="K617" s="12">
        <f>20064.55+386.53</f>
        <v>20451.079999999998</v>
      </c>
    </row>
    <row r="618" spans="1:9" s="10" customFormat="1" ht="30" customHeight="1">
      <c r="A618" s="296"/>
      <c r="B618" s="260" t="s">
        <v>146</v>
      </c>
      <c r="C618" s="261"/>
      <c r="D618" s="262"/>
      <c r="E618" s="263"/>
      <c r="F618" s="263"/>
      <c r="G618" s="297">
        <f>G617</f>
        <v>52577</v>
      </c>
      <c r="H618" s="265"/>
      <c r="I618" s="73"/>
    </row>
    <row r="619" spans="1:9" ht="22.5" customHeight="1">
      <c r="A619" s="19"/>
      <c r="B619" s="208" t="s">
        <v>151</v>
      </c>
      <c r="C619" s="167"/>
      <c r="D619" s="168"/>
      <c r="E619" s="207"/>
      <c r="F619" s="207"/>
      <c r="G619" s="304"/>
      <c r="H619" s="8"/>
      <c r="I619" s="223"/>
    </row>
    <row r="620" spans="1:9" ht="22.5" customHeight="1">
      <c r="A620" s="19"/>
      <c r="B620" s="106" t="s">
        <v>152</v>
      </c>
      <c r="C620" s="107"/>
      <c r="D620" s="108" t="s">
        <v>153</v>
      </c>
      <c r="E620" s="109"/>
      <c r="F620" s="109"/>
      <c r="G620" s="304"/>
      <c r="H620" s="171"/>
      <c r="I620" s="223"/>
    </row>
    <row r="621" spans="1:9" s="8" customFormat="1" ht="22.5" customHeight="1">
      <c r="A621" s="19"/>
      <c r="B621" s="111"/>
      <c r="C621" s="9"/>
      <c r="D621" s="112" t="s">
        <v>154</v>
      </c>
      <c r="E621" s="113" t="s">
        <v>155</v>
      </c>
      <c r="F621" s="114"/>
      <c r="G621" s="304"/>
      <c r="H621" s="171"/>
      <c r="I621" s="223"/>
    </row>
    <row r="622" spans="1:9" s="8" customFormat="1" ht="22.5" customHeight="1">
      <c r="A622" s="19"/>
      <c r="B622" s="115" t="s">
        <v>156</v>
      </c>
      <c r="C622" s="116"/>
      <c r="D622" s="108" t="s">
        <v>157</v>
      </c>
      <c r="E622" s="109"/>
      <c r="F622" s="109"/>
      <c r="G622" s="304"/>
      <c r="H622" s="171"/>
      <c r="I622" s="223"/>
    </row>
    <row r="623" spans="1:9" ht="22.5" customHeight="1">
      <c r="A623" s="19"/>
      <c r="B623" s="111"/>
      <c r="C623" s="9"/>
      <c r="D623" s="112" t="s">
        <v>154</v>
      </c>
      <c r="E623" s="113"/>
      <c r="F623" s="114"/>
      <c r="G623" s="304"/>
      <c r="H623" s="8"/>
      <c r="I623" s="141"/>
    </row>
    <row r="624" spans="1:9" s="8" customFormat="1" ht="22.5" customHeight="1">
      <c r="A624" s="19"/>
      <c r="B624" s="115" t="s">
        <v>158</v>
      </c>
      <c r="C624" s="9"/>
      <c r="D624" s="9"/>
      <c r="E624" s="9"/>
      <c r="F624" s="9"/>
      <c r="G624" s="304"/>
      <c r="H624" s="171"/>
      <c r="I624" s="223"/>
    </row>
    <row r="625" spans="1:9" s="2" customFormat="1" ht="30" customHeight="1">
      <c r="A625" s="169"/>
      <c r="B625" s="229" t="str">
        <f>B524</f>
        <v>Начальник отдела образования администрации Новоазовского района</v>
      </c>
      <c r="C625" s="167"/>
      <c r="D625" s="291" t="str">
        <f>D524</f>
        <v>Сафронова А.В.</v>
      </c>
      <c r="E625" s="229"/>
      <c r="F625" s="167"/>
      <c r="G625" s="307"/>
      <c r="H625" s="171"/>
      <c r="I625" s="326"/>
    </row>
    <row r="626" spans="1:9" ht="22.5" customHeight="1">
      <c r="A626" s="19"/>
      <c r="B626" s="230" t="str">
        <f>B525</f>
        <v> (должность первого руководителя заказчика)</v>
      </c>
      <c r="C626" s="167"/>
      <c r="D626" s="168"/>
      <c r="E626" s="207"/>
      <c r="F626" s="207"/>
      <c r="G626" s="304"/>
      <c r="H626" s="8"/>
      <c r="I626" s="223"/>
    </row>
    <row r="627" spans="1:9" ht="67.5" customHeight="1">
      <c r="A627" s="19"/>
      <c r="B627" s="8" t="s">
        <v>0</v>
      </c>
      <c r="C627" s="20"/>
      <c r="D627" s="21"/>
      <c r="E627" s="22"/>
      <c r="F627" s="23" t="s">
        <v>1</v>
      </c>
      <c r="G627" s="23"/>
      <c r="H627" s="21"/>
      <c r="I627" s="70"/>
    </row>
    <row r="628" spans="1:9" ht="45" customHeight="1">
      <c r="A628" s="317" t="s">
        <v>416</v>
      </c>
      <c r="B628" s="317"/>
      <c r="C628" s="317"/>
      <c r="D628" s="317"/>
      <c r="E628" s="317"/>
      <c r="F628" s="317"/>
      <c r="G628" s="317"/>
      <c r="H628" s="317"/>
      <c r="I628" s="317"/>
    </row>
    <row r="629" spans="1:9" s="7" customFormat="1" ht="29.25" customHeight="1" hidden="1">
      <c r="A629" s="35" t="s">
        <v>675</v>
      </c>
      <c r="B629" s="173"/>
      <c r="C629" s="173"/>
      <c r="D629" s="173"/>
      <c r="E629" s="173"/>
      <c r="F629" s="173"/>
      <c r="G629" s="173"/>
      <c r="H629" s="173"/>
      <c r="I629" s="173"/>
    </row>
    <row r="630" spans="3:9" ht="15" customHeight="1">
      <c r="C630" s="124"/>
      <c r="D630" s="125" t="s">
        <v>4</v>
      </c>
      <c r="E630" s="124"/>
      <c r="F630" s="124"/>
      <c r="G630" s="3"/>
      <c r="H630" s="16"/>
      <c r="I630" s="16"/>
    </row>
    <row r="631" ht="15" customHeight="1"/>
    <row r="632" spans="1:11" ht="15.75" customHeight="1">
      <c r="A632" s="26" t="s">
        <v>5</v>
      </c>
      <c r="B632" s="27" t="s">
        <v>6</v>
      </c>
      <c r="C632" s="28" t="s">
        <v>7</v>
      </c>
      <c r="D632" s="28" t="s">
        <v>249</v>
      </c>
      <c r="E632" s="28" t="s">
        <v>9</v>
      </c>
      <c r="F632" s="28" t="s">
        <v>10</v>
      </c>
      <c r="G632" s="28" t="s">
        <v>250</v>
      </c>
      <c r="H632" s="28" t="s">
        <v>251</v>
      </c>
      <c r="I632" s="28" t="s">
        <v>13</v>
      </c>
      <c r="J632" s="71"/>
      <c r="K632" s="71"/>
    </row>
    <row r="633" spans="1:9" ht="31.5" customHeight="1">
      <c r="A633" s="29"/>
      <c r="B633" s="30"/>
      <c r="C633" s="31"/>
      <c r="D633" s="31"/>
      <c r="E633" s="31"/>
      <c r="F633" s="31"/>
      <c r="G633" s="31"/>
      <c r="H633" s="31"/>
      <c r="I633" s="31"/>
    </row>
    <row r="634" spans="1:9" ht="37.5" customHeight="1">
      <c r="A634" s="32"/>
      <c r="B634" s="33"/>
      <c r="C634" s="34"/>
      <c r="D634" s="34"/>
      <c r="E634" s="34"/>
      <c r="F634" s="34"/>
      <c r="G634" s="34"/>
      <c r="H634" s="34"/>
      <c r="I634" s="34"/>
    </row>
    <row r="635" spans="1:9" ht="20.25" customHeight="1">
      <c r="A635" s="32">
        <v>1</v>
      </c>
      <c r="B635" s="33">
        <v>2</v>
      </c>
      <c r="C635" s="34">
        <v>3</v>
      </c>
      <c r="D635" s="34">
        <v>4</v>
      </c>
      <c r="E635" s="34">
        <v>5</v>
      </c>
      <c r="F635" s="34">
        <v>6</v>
      </c>
      <c r="G635" s="34">
        <v>7</v>
      </c>
      <c r="H635" s="34">
        <v>8</v>
      </c>
      <c r="I635" s="72">
        <v>9</v>
      </c>
    </row>
    <row r="636" spans="1:9" ht="30" customHeight="1">
      <c r="A636" s="37">
        <v>403</v>
      </c>
      <c r="B636" s="38" t="s">
        <v>15</v>
      </c>
      <c r="C636" s="39" t="s">
        <v>16</v>
      </c>
      <c r="D636" s="40" t="s">
        <v>17</v>
      </c>
      <c r="E636" s="41" t="s">
        <v>18</v>
      </c>
      <c r="F636" s="41">
        <v>12</v>
      </c>
      <c r="G636" s="42">
        <v>2520</v>
      </c>
      <c r="H636" s="40" t="s">
        <v>19</v>
      </c>
      <c r="I636" s="73" t="s">
        <v>253</v>
      </c>
    </row>
    <row r="637" spans="1:9" ht="30" customHeight="1">
      <c r="A637" s="32">
        <v>404</v>
      </c>
      <c r="B637" s="94" t="s">
        <v>417</v>
      </c>
      <c r="C637" s="43" t="s">
        <v>24</v>
      </c>
      <c r="D637" s="40" t="s">
        <v>17</v>
      </c>
      <c r="E637" s="85" t="s">
        <v>25</v>
      </c>
      <c r="F637" s="85">
        <v>1</v>
      </c>
      <c r="G637" s="231">
        <v>170.34</v>
      </c>
      <c r="H637" s="40" t="s">
        <v>19</v>
      </c>
      <c r="I637" s="100"/>
    </row>
    <row r="638" spans="1:9" ht="30" customHeight="1">
      <c r="A638" s="37">
        <v>405</v>
      </c>
      <c r="B638" s="94" t="s">
        <v>418</v>
      </c>
      <c r="C638" s="43" t="s">
        <v>419</v>
      </c>
      <c r="D638" s="40" t="s">
        <v>17</v>
      </c>
      <c r="E638" s="85" t="s">
        <v>25</v>
      </c>
      <c r="F638" s="85">
        <v>6</v>
      </c>
      <c r="G638" s="231">
        <v>311.94</v>
      </c>
      <c r="H638" s="40" t="s">
        <v>19</v>
      </c>
      <c r="I638" s="100"/>
    </row>
    <row r="639" spans="1:9" ht="30" customHeight="1">
      <c r="A639" s="32">
        <v>406</v>
      </c>
      <c r="B639" s="94" t="s">
        <v>420</v>
      </c>
      <c r="C639" s="43" t="s">
        <v>24</v>
      </c>
      <c r="D639" s="40" t="s">
        <v>17</v>
      </c>
      <c r="E639" s="85" t="s">
        <v>25</v>
      </c>
      <c r="F639" s="34">
        <v>10</v>
      </c>
      <c r="G639" s="135">
        <v>746.6</v>
      </c>
      <c r="H639" s="40" t="s">
        <v>19</v>
      </c>
      <c r="I639" s="100"/>
    </row>
    <row r="640" spans="1:14" ht="30" customHeight="1">
      <c r="A640" s="37">
        <v>407</v>
      </c>
      <c r="B640" s="94" t="s">
        <v>421</v>
      </c>
      <c r="C640" s="43" t="s">
        <v>346</v>
      </c>
      <c r="D640" s="40" t="s">
        <v>17</v>
      </c>
      <c r="E640" s="41" t="s">
        <v>193</v>
      </c>
      <c r="F640" s="41">
        <v>8</v>
      </c>
      <c r="G640" s="42">
        <v>7920</v>
      </c>
      <c r="H640" s="40" t="s">
        <v>19</v>
      </c>
      <c r="I640" s="100"/>
      <c r="L640" s="74">
        <f>G640-K640</f>
        <v>7920</v>
      </c>
      <c r="M640" s="12">
        <f>199-125</f>
        <v>74</v>
      </c>
      <c r="N640" s="12">
        <f>27223.2-17100</f>
        <v>10123.2</v>
      </c>
    </row>
    <row r="641" spans="1:12" ht="30" customHeight="1">
      <c r="A641" s="32">
        <v>408</v>
      </c>
      <c r="B641" s="38" t="s">
        <v>422</v>
      </c>
      <c r="C641" s="40" t="s">
        <v>27</v>
      </c>
      <c r="D641" s="40" t="s">
        <v>17</v>
      </c>
      <c r="E641" s="41" t="s">
        <v>25</v>
      </c>
      <c r="F641" s="41">
        <v>29</v>
      </c>
      <c r="G641" s="42">
        <v>1721.15</v>
      </c>
      <c r="H641" s="40" t="s">
        <v>19</v>
      </c>
      <c r="I641" s="100"/>
      <c r="J641" s="12">
        <v>1</v>
      </c>
      <c r="K641" s="12">
        <f>59.21</f>
        <v>59.21</v>
      </c>
      <c r="L641" s="74">
        <f>G641-K641</f>
        <v>1661.94</v>
      </c>
    </row>
    <row r="642" spans="1:12" ht="30" customHeight="1">
      <c r="A642" s="37">
        <v>409</v>
      </c>
      <c r="B642" s="94" t="s">
        <v>257</v>
      </c>
      <c r="C642" s="40" t="s">
        <v>33</v>
      </c>
      <c r="D642" s="40" t="s">
        <v>17</v>
      </c>
      <c r="E642" s="41" t="s">
        <v>193</v>
      </c>
      <c r="F642" s="41">
        <v>90</v>
      </c>
      <c r="G642" s="42">
        <v>10800</v>
      </c>
      <c r="H642" s="40" t="s">
        <v>19</v>
      </c>
      <c r="I642" s="100"/>
      <c r="L642" s="74"/>
    </row>
    <row r="643" spans="1:12" ht="30" customHeight="1">
      <c r="A643" s="32">
        <v>410</v>
      </c>
      <c r="B643" s="232" t="s">
        <v>423</v>
      </c>
      <c r="C643" s="40" t="s">
        <v>183</v>
      </c>
      <c r="D643" s="40" t="s">
        <v>17</v>
      </c>
      <c r="E643" s="41" t="s">
        <v>285</v>
      </c>
      <c r="F643" s="41">
        <v>75</v>
      </c>
      <c r="G643" s="42">
        <v>6618.75</v>
      </c>
      <c r="H643" s="40" t="s">
        <v>19</v>
      </c>
      <c r="I643" s="100"/>
      <c r="L643" s="74"/>
    </row>
    <row r="644" spans="1:12" ht="30" customHeight="1">
      <c r="A644" s="37">
        <v>411</v>
      </c>
      <c r="B644" s="94" t="s">
        <v>424</v>
      </c>
      <c r="C644" s="40" t="s">
        <v>44</v>
      </c>
      <c r="D644" s="40" t="s">
        <v>17</v>
      </c>
      <c r="E644" s="41" t="s">
        <v>25</v>
      </c>
      <c r="F644" s="41">
        <v>1</v>
      </c>
      <c r="G644" s="42">
        <v>1570</v>
      </c>
      <c r="H644" s="40" t="s">
        <v>19</v>
      </c>
      <c r="I644" s="100"/>
      <c r="L644" s="74"/>
    </row>
    <row r="645" spans="1:12" ht="30" customHeight="1">
      <c r="A645" s="32">
        <v>412</v>
      </c>
      <c r="B645" s="94" t="s">
        <v>425</v>
      </c>
      <c r="C645" s="40" t="s">
        <v>24</v>
      </c>
      <c r="D645" s="40" t="s">
        <v>17</v>
      </c>
      <c r="E645" s="41" t="s">
        <v>25</v>
      </c>
      <c r="F645" s="41">
        <v>5</v>
      </c>
      <c r="G645" s="42">
        <v>1000</v>
      </c>
      <c r="H645" s="40" t="s">
        <v>19</v>
      </c>
      <c r="I645" s="100"/>
      <c r="L645" s="74"/>
    </row>
    <row r="646" spans="1:12" ht="30" customHeight="1">
      <c r="A646" s="37">
        <v>413</v>
      </c>
      <c r="B646" s="94" t="s">
        <v>426</v>
      </c>
      <c r="C646" s="40" t="s">
        <v>44</v>
      </c>
      <c r="D646" s="40" t="s">
        <v>17</v>
      </c>
      <c r="E646" s="41" t="s">
        <v>25</v>
      </c>
      <c r="F646" s="41">
        <v>1</v>
      </c>
      <c r="G646" s="42">
        <v>1301.02</v>
      </c>
      <c r="H646" s="40" t="s">
        <v>19</v>
      </c>
      <c r="I646" s="100"/>
      <c r="L646" s="74"/>
    </row>
    <row r="647" spans="1:12" ht="30" customHeight="1">
      <c r="A647" s="32">
        <v>414</v>
      </c>
      <c r="B647" s="38" t="s">
        <v>57</v>
      </c>
      <c r="C647" s="40" t="s">
        <v>58</v>
      </c>
      <c r="D647" s="40" t="s">
        <v>17</v>
      </c>
      <c r="E647" s="41" t="s">
        <v>25</v>
      </c>
      <c r="F647" s="41">
        <v>1</v>
      </c>
      <c r="G647" s="295">
        <v>2500.2</v>
      </c>
      <c r="H647" s="155" t="s">
        <v>19</v>
      </c>
      <c r="I647" s="100"/>
      <c r="L647" s="74"/>
    </row>
    <row r="648" spans="1:12" ht="30" customHeight="1">
      <c r="A648" s="37">
        <v>415</v>
      </c>
      <c r="B648" s="94" t="s">
        <v>427</v>
      </c>
      <c r="C648" s="40" t="s">
        <v>428</v>
      </c>
      <c r="D648" s="40" t="s">
        <v>17</v>
      </c>
      <c r="E648" s="41" t="s">
        <v>25</v>
      </c>
      <c r="F648" s="41">
        <v>1</v>
      </c>
      <c r="G648" s="42">
        <v>5000</v>
      </c>
      <c r="H648" s="40" t="s">
        <v>19</v>
      </c>
      <c r="I648" s="100"/>
      <c r="L648" s="74"/>
    </row>
    <row r="649" spans="1:14" s="10" customFormat="1" ht="30" customHeight="1">
      <c r="A649" s="296"/>
      <c r="B649" s="260" t="s">
        <v>59</v>
      </c>
      <c r="C649" s="261"/>
      <c r="D649" s="262"/>
      <c r="E649" s="263"/>
      <c r="F649" s="263"/>
      <c r="G649" s="297">
        <f>SUM(G636:G648)</f>
        <v>42179.99999999999</v>
      </c>
      <c r="H649" s="265"/>
      <c r="I649" s="100"/>
      <c r="K649" s="267">
        <f>SUM(K636:K648)</f>
        <v>59.21</v>
      </c>
      <c r="L649" s="267">
        <f>SUM(L636:L648)</f>
        <v>9581.94</v>
      </c>
      <c r="M649" s="10">
        <v>17353.2</v>
      </c>
      <c r="N649" s="267">
        <f>M649-K649</f>
        <v>17293.99</v>
      </c>
    </row>
    <row r="650" spans="1:14" ht="30" customHeight="1">
      <c r="A650" s="37">
        <v>416</v>
      </c>
      <c r="B650" s="40" t="s">
        <v>269</v>
      </c>
      <c r="C650" s="40" t="s">
        <v>270</v>
      </c>
      <c r="D650" s="40" t="s">
        <v>62</v>
      </c>
      <c r="E650" s="41" t="s">
        <v>34</v>
      </c>
      <c r="F650" s="69">
        <v>0.5</v>
      </c>
      <c r="G650" s="295">
        <v>187.2</v>
      </c>
      <c r="H650" s="40" t="s">
        <v>63</v>
      </c>
      <c r="I650" s="100"/>
      <c r="K650" s="74"/>
      <c r="L650" s="74"/>
      <c r="N650" s="74"/>
    </row>
    <row r="651" spans="1:14" ht="30" customHeight="1">
      <c r="A651" s="37">
        <v>417</v>
      </c>
      <c r="B651" s="38" t="s">
        <v>216</v>
      </c>
      <c r="C651" s="40" t="s">
        <v>217</v>
      </c>
      <c r="D651" s="40" t="s">
        <v>62</v>
      </c>
      <c r="E651" s="41" t="s">
        <v>34</v>
      </c>
      <c r="F651" s="69">
        <v>17</v>
      </c>
      <c r="G651" s="295">
        <v>329.3</v>
      </c>
      <c r="H651" s="40" t="s">
        <v>63</v>
      </c>
      <c r="I651" s="100"/>
      <c r="K651" s="74"/>
      <c r="L651" s="74"/>
      <c r="N651" s="74"/>
    </row>
    <row r="652" spans="1:14" ht="30" customHeight="1">
      <c r="A652" s="37">
        <v>418</v>
      </c>
      <c r="B652" s="38" t="s">
        <v>64</v>
      </c>
      <c r="C652" s="40" t="s">
        <v>65</v>
      </c>
      <c r="D652" s="40" t="s">
        <v>62</v>
      </c>
      <c r="E652" s="41" t="s">
        <v>34</v>
      </c>
      <c r="F652" s="69">
        <v>400</v>
      </c>
      <c r="G652" s="295">
        <v>6860</v>
      </c>
      <c r="H652" s="40" t="s">
        <v>63</v>
      </c>
      <c r="I652" s="100"/>
      <c r="K652" s="74"/>
      <c r="L652" s="74"/>
      <c r="N652" s="74"/>
    </row>
    <row r="653" spans="1:14" ht="30" customHeight="1">
      <c r="A653" s="37">
        <v>419</v>
      </c>
      <c r="B653" s="71" t="s">
        <v>429</v>
      </c>
      <c r="C653" s="40" t="s">
        <v>219</v>
      </c>
      <c r="D653" s="40" t="s">
        <v>62</v>
      </c>
      <c r="E653" s="41" t="s">
        <v>34</v>
      </c>
      <c r="F653" s="69">
        <v>3</v>
      </c>
      <c r="G653" s="295">
        <v>68.8</v>
      </c>
      <c r="H653" s="40" t="s">
        <v>63</v>
      </c>
      <c r="I653" s="100"/>
      <c r="K653" s="74"/>
      <c r="L653" s="74"/>
      <c r="N653" s="74"/>
    </row>
    <row r="654" spans="1:14" ht="30" customHeight="1">
      <c r="A654" s="37">
        <v>420</v>
      </c>
      <c r="B654" s="38" t="s">
        <v>71</v>
      </c>
      <c r="C654" s="71" t="s">
        <v>72</v>
      </c>
      <c r="D654" s="40" t="s">
        <v>62</v>
      </c>
      <c r="E654" s="41" t="s">
        <v>34</v>
      </c>
      <c r="F654" s="69">
        <v>57</v>
      </c>
      <c r="G654" s="295">
        <v>901</v>
      </c>
      <c r="H654" s="40" t="s">
        <v>63</v>
      </c>
      <c r="I654" s="100"/>
      <c r="K654" s="74"/>
      <c r="L654" s="74"/>
      <c r="N654" s="74"/>
    </row>
    <row r="655" spans="1:14" ht="45" customHeight="1">
      <c r="A655" s="37">
        <v>421</v>
      </c>
      <c r="B655" s="38" t="s">
        <v>73</v>
      </c>
      <c r="C655" s="40" t="s">
        <v>74</v>
      </c>
      <c r="D655" s="40" t="s">
        <v>62</v>
      </c>
      <c r="E655" s="41" t="s">
        <v>34</v>
      </c>
      <c r="F655" s="69">
        <v>17</v>
      </c>
      <c r="G655" s="295">
        <v>400.8</v>
      </c>
      <c r="H655" s="40" t="s">
        <v>63</v>
      </c>
      <c r="I655" s="100"/>
      <c r="K655" s="74"/>
      <c r="L655" s="74"/>
      <c r="N655" s="74"/>
    </row>
    <row r="656" spans="1:14" ht="30" customHeight="1">
      <c r="A656" s="37">
        <v>422</v>
      </c>
      <c r="B656" s="38" t="s">
        <v>75</v>
      </c>
      <c r="C656" s="71" t="s">
        <v>76</v>
      </c>
      <c r="D656" s="40" t="s">
        <v>62</v>
      </c>
      <c r="E656" s="41" t="s">
        <v>77</v>
      </c>
      <c r="F656" s="69">
        <v>20</v>
      </c>
      <c r="G656" s="295">
        <v>1489</v>
      </c>
      <c r="H656" s="40" t="s">
        <v>63</v>
      </c>
      <c r="I656" s="100"/>
      <c r="K656" s="74"/>
      <c r="L656" s="74"/>
      <c r="N656" s="74"/>
    </row>
    <row r="657" spans="1:14" ht="30" customHeight="1">
      <c r="A657" s="37">
        <v>423</v>
      </c>
      <c r="B657" s="38" t="s">
        <v>78</v>
      </c>
      <c r="C657" s="40" t="s">
        <v>79</v>
      </c>
      <c r="D657" s="40" t="s">
        <v>62</v>
      </c>
      <c r="E657" s="41" t="s">
        <v>34</v>
      </c>
      <c r="F657" s="69">
        <v>25</v>
      </c>
      <c r="G657" s="295">
        <v>7694.5</v>
      </c>
      <c r="H657" s="40" t="s">
        <v>63</v>
      </c>
      <c r="I657" s="100"/>
      <c r="K657" s="74"/>
      <c r="L657" s="74"/>
      <c r="N657" s="74"/>
    </row>
    <row r="658" spans="1:14" ht="45" customHeight="1">
      <c r="A658" s="37">
        <v>424</v>
      </c>
      <c r="B658" s="38" t="s">
        <v>80</v>
      </c>
      <c r="C658" s="40" t="s">
        <v>81</v>
      </c>
      <c r="D658" s="40" t="s">
        <v>62</v>
      </c>
      <c r="E658" s="41" t="s">
        <v>82</v>
      </c>
      <c r="F658" s="69">
        <v>34.2</v>
      </c>
      <c r="G658" s="295">
        <v>1389.96</v>
      </c>
      <c r="H658" s="40" t="s">
        <v>63</v>
      </c>
      <c r="I658" s="100"/>
      <c r="K658" s="74"/>
      <c r="L658" s="74"/>
      <c r="N658" s="74"/>
    </row>
    <row r="659" spans="1:14" ht="30" customHeight="1">
      <c r="A659" s="37">
        <v>425</v>
      </c>
      <c r="B659" s="38" t="s">
        <v>83</v>
      </c>
      <c r="C659" s="40" t="s">
        <v>72</v>
      </c>
      <c r="D659" s="40" t="s">
        <v>62</v>
      </c>
      <c r="E659" s="41" t="s">
        <v>34</v>
      </c>
      <c r="F659" s="69">
        <v>67</v>
      </c>
      <c r="G659" s="295">
        <v>1716.9</v>
      </c>
      <c r="H659" s="40" t="s">
        <v>63</v>
      </c>
      <c r="I659" s="100"/>
      <c r="K659" s="74"/>
      <c r="L659" s="74"/>
      <c r="N659" s="74"/>
    </row>
    <row r="660" spans="1:14" ht="30" customHeight="1">
      <c r="A660" s="37">
        <v>426</v>
      </c>
      <c r="B660" s="38" t="s">
        <v>665</v>
      </c>
      <c r="C660" s="40" t="s">
        <v>666</v>
      </c>
      <c r="D660" s="40" t="s">
        <v>62</v>
      </c>
      <c r="E660" s="41" t="s">
        <v>34</v>
      </c>
      <c r="F660" s="69">
        <v>40</v>
      </c>
      <c r="G660" s="295">
        <v>5612.64</v>
      </c>
      <c r="H660" s="40" t="s">
        <v>63</v>
      </c>
      <c r="I660" s="100"/>
      <c r="K660" s="74"/>
      <c r="L660" s="74"/>
      <c r="N660" s="74"/>
    </row>
    <row r="661" spans="1:14" ht="30" customHeight="1">
      <c r="A661" s="37">
        <v>427</v>
      </c>
      <c r="B661" s="38" t="s">
        <v>88</v>
      </c>
      <c r="C661" s="40" t="s">
        <v>85</v>
      </c>
      <c r="D661" s="40" t="s">
        <v>62</v>
      </c>
      <c r="E661" s="41" t="s">
        <v>34</v>
      </c>
      <c r="F661" s="69">
        <v>35</v>
      </c>
      <c r="G661" s="295">
        <v>4348</v>
      </c>
      <c r="H661" s="40" t="s">
        <v>63</v>
      </c>
      <c r="I661" s="100"/>
      <c r="K661" s="74"/>
      <c r="L661" s="74"/>
      <c r="N661" s="74"/>
    </row>
    <row r="662" spans="1:14" ht="30" customHeight="1">
      <c r="A662" s="37">
        <v>428</v>
      </c>
      <c r="B662" s="38" t="s">
        <v>89</v>
      </c>
      <c r="C662" s="40" t="s">
        <v>90</v>
      </c>
      <c r="D662" s="40" t="s">
        <v>62</v>
      </c>
      <c r="E662" s="41" t="s">
        <v>34</v>
      </c>
      <c r="F662" s="69">
        <v>25</v>
      </c>
      <c r="G662" s="295">
        <v>1239.5</v>
      </c>
      <c r="H662" s="40" t="s">
        <v>63</v>
      </c>
      <c r="I662" s="100"/>
      <c r="K662" s="74"/>
      <c r="L662" s="74"/>
      <c r="N662" s="74"/>
    </row>
    <row r="663" spans="1:14" ht="30" customHeight="1">
      <c r="A663" s="37">
        <v>429</v>
      </c>
      <c r="B663" s="38" t="s">
        <v>91</v>
      </c>
      <c r="C663" s="40" t="s">
        <v>92</v>
      </c>
      <c r="D663" s="40" t="s">
        <v>62</v>
      </c>
      <c r="E663" s="41" t="s">
        <v>34</v>
      </c>
      <c r="F663" s="69">
        <v>65</v>
      </c>
      <c r="G663" s="295">
        <v>10866</v>
      </c>
      <c r="H663" s="40" t="s">
        <v>63</v>
      </c>
      <c r="I663" s="100"/>
      <c r="K663" s="74"/>
      <c r="L663" s="74"/>
      <c r="N663" s="74"/>
    </row>
    <row r="664" spans="1:14" ht="30" customHeight="1">
      <c r="A664" s="37">
        <v>430</v>
      </c>
      <c r="B664" s="38" t="s">
        <v>274</v>
      </c>
      <c r="C664" s="40" t="s">
        <v>275</v>
      </c>
      <c r="D664" s="40" t="s">
        <v>62</v>
      </c>
      <c r="E664" s="41" t="s">
        <v>34</v>
      </c>
      <c r="F664" s="69">
        <v>100</v>
      </c>
      <c r="G664" s="295">
        <v>3750</v>
      </c>
      <c r="H664" s="40" t="s">
        <v>63</v>
      </c>
      <c r="I664" s="100"/>
      <c r="K664" s="74"/>
      <c r="L664" s="74"/>
      <c r="N664" s="74"/>
    </row>
    <row r="665" spans="1:14" ht="30" customHeight="1">
      <c r="A665" s="37">
        <v>431</v>
      </c>
      <c r="B665" s="38" t="s">
        <v>222</v>
      </c>
      <c r="C665" s="40" t="s">
        <v>223</v>
      </c>
      <c r="D665" s="40" t="s">
        <v>62</v>
      </c>
      <c r="E665" s="41" t="s">
        <v>34</v>
      </c>
      <c r="F665" s="69">
        <v>32</v>
      </c>
      <c r="G665" s="295">
        <v>622.4</v>
      </c>
      <c r="H665" s="40" t="s">
        <v>63</v>
      </c>
      <c r="I665" s="100"/>
      <c r="K665" s="74"/>
      <c r="L665" s="74"/>
      <c r="N665" s="74"/>
    </row>
    <row r="666" spans="1:14" ht="30" customHeight="1">
      <c r="A666" s="37">
        <v>432</v>
      </c>
      <c r="B666" s="38" t="s">
        <v>93</v>
      </c>
      <c r="C666" s="40" t="s">
        <v>94</v>
      </c>
      <c r="D666" s="40" t="s">
        <v>62</v>
      </c>
      <c r="E666" s="41" t="s">
        <v>34</v>
      </c>
      <c r="F666" s="69">
        <v>26.6</v>
      </c>
      <c r="G666" s="295">
        <v>3455.91</v>
      </c>
      <c r="H666" s="40" t="s">
        <v>63</v>
      </c>
      <c r="I666" s="100"/>
      <c r="K666" s="74"/>
      <c r="L666" s="74"/>
      <c r="N666" s="74"/>
    </row>
    <row r="667" spans="1:14" ht="30" customHeight="1">
      <c r="A667" s="37">
        <v>433</v>
      </c>
      <c r="B667" s="38" t="s">
        <v>224</v>
      </c>
      <c r="C667" s="40" t="s">
        <v>225</v>
      </c>
      <c r="D667" s="40" t="s">
        <v>62</v>
      </c>
      <c r="E667" s="41" t="s">
        <v>34</v>
      </c>
      <c r="F667" s="69">
        <v>8</v>
      </c>
      <c r="G667" s="295">
        <v>100.7</v>
      </c>
      <c r="H667" s="40" t="s">
        <v>63</v>
      </c>
      <c r="I667" s="100"/>
      <c r="K667" s="74"/>
      <c r="L667" s="74"/>
      <c r="N667" s="74"/>
    </row>
    <row r="668" spans="1:14" ht="30" customHeight="1">
      <c r="A668" s="37">
        <v>434</v>
      </c>
      <c r="B668" s="40" t="s">
        <v>226</v>
      </c>
      <c r="C668" s="40" t="s">
        <v>227</v>
      </c>
      <c r="D668" s="40" t="s">
        <v>62</v>
      </c>
      <c r="E668" s="41" t="s">
        <v>34</v>
      </c>
      <c r="F668" s="69">
        <v>10</v>
      </c>
      <c r="G668" s="295">
        <v>1360.38</v>
      </c>
      <c r="H668" s="40" t="s">
        <v>63</v>
      </c>
      <c r="I668" s="100"/>
      <c r="K668" s="74"/>
      <c r="L668" s="74"/>
      <c r="N668" s="74"/>
    </row>
    <row r="669" spans="1:14" ht="45" customHeight="1">
      <c r="A669" s="37">
        <v>435</v>
      </c>
      <c r="B669" s="38" t="s">
        <v>60</v>
      </c>
      <c r="C669" s="40" t="s">
        <v>61</v>
      </c>
      <c r="D669" s="40" t="s">
        <v>62</v>
      </c>
      <c r="E669" s="41" t="s">
        <v>34</v>
      </c>
      <c r="F669" s="69">
        <v>6</v>
      </c>
      <c r="G669" s="295">
        <v>216.6</v>
      </c>
      <c r="H669" s="40" t="s">
        <v>63</v>
      </c>
      <c r="I669" s="100"/>
      <c r="K669" s="74"/>
      <c r="L669" s="74"/>
      <c r="N669" s="74"/>
    </row>
    <row r="670" spans="1:14" ht="30" customHeight="1">
      <c r="A670" s="37">
        <v>436</v>
      </c>
      <c r="B670" s="40" t="s">
        <v>95</v>
      </c>
      <c r="C670" s="40" t="s">
        <v>96</v>
      </c>
      <c r="D670" s="40" t="s">
        <v>62</v>
      </c>
      <c r="E670" s="41" t="s">
        <v>34</v>
      </c>
      <c r="F670" s="69">
        <v>40</v>
      </c>
      <c r="G670" s="295">
        <v>7950</v>
      </c>
      <c r="H670" s="40" t="s">
        <v>63</v>
      </c>
      <c r="I670" s="100"/>
      <c r="K670" s="74"/>
      <c r="L670" s="74"/>
      <c r="N670" s="74"/>
    </row>
    <row r="671" spans="1:14" ht="30" customHeight="1">
      <c r="A671" s="37">
        <v>437</v>
      </c>
      <c r="B671" s="40" t="s">
        <v>667</v>
      </c>
      <c r="C671" s="40" t="s">
        <v>668</v>
      </c>
      <c r="D671" s="40" t="s">
        <v>62</v>
      </c>
      <c r="E671" s="41" t="s">
        <v>34</v>
      </c>
      <c r="F671" s="69">
        <f>100</f>
        <v>100</v>
      </c>
      <c r="G671" s="295">
        <v>21524.5</v>
      </c>
      <c r="H671" s="40" t="s">
        <v>63</v>
      </c>
      <c r="I671" s="100"/>
      <c r="K671" s="74"/>
      <c r="L671" s="74"/>
      <c r="N671" s="74"/>
    </row>
    <row r="672" spans="1:14" ht="45" customHeight="1">
      <c r="A672" s="37">
        <v>438</v>
      </c>
      <c r="B672" s="54" t="s">
        <v>98</v>
      </c>
      <c r="C672" s="40" t="s">
        <v>61</v>
      </c>
      <c r="D672" s="40" t="s">
        <v>62</v>
      </c>
      <c r="E672" s="41" t="s">
        <v>25</v>
      </c>
      <c r="F672" s="69">
        <v>435</v>
      </c>
      <c r="G672" s="295">
        <v>5552.31</v>
      </c>
      <c r="H672" s="40" t="s">
        <v>63</v>
      </c>
      <c r="I672" s="100"/>
      <c r="K672" s="74"/>
      <c r="L672" s="74"/>
      <c r="N672" s="74"/>
    </row>
    <row r="673" spans="1:14" ht="30" customHeight="1">
      <c r="A673" s="37">
        <v>439</v>
      </c>
      <c r="B673" s="40" t="s">
        <v>99</v>
      </c>
      <c r="C673" s="40" t="s">
        <v>100</v>
      </c>
      <c r="D673" s="40" t="s">
        <v>62</v>
      </c>
      <c r="E673" s="41" t="s">
        <v>34</v>
      </c>
      <c r="F673" s="69">
        <v>30</v>
      </c>
      <c r="G673" s="295">
        <v>9116</v>
      </c>
      <c r="H673" s="40" t="s">
        <v>63</v>
      </c>
      <c r="I673" s="100"/>
      <c r="K673" s="74"/>
      <c r="L673" s="74"/>
      <c r="N673" s="74"/>
    </row>
    <row r="674" spans="1:14" ht="30" customHeight="1">
      <c r="A674" s="37">
        <v>440</v>
      </c>
      <c r="B674" s="40" t="s">
        <v>101</v>
      </c>
      <c r="C674" s="40" t="s">
        <v>102</v>
      </c>
      <c r="D674" s="40" t="s">
        <v>62</v>
      </c>
      <c r="E674" s="41" t="s">
        <v>34</v>
      </c>
      <c r="F674" s="69">
        <v>3</v>
      </c>
      <c r="G674" s="295">
        <v>1785</v>
      </c>
      <c r="H674" s="40" t="s">
        <v>63</v>
      </c>
      <c r="I674" s="100"/>
      <c r="K674" s="74"/>
      <c r="L674" s="74"/>
      <c r="N674" s="74"/>
    </row>
    <row r="675" spans="1:14" ht="30" customHeight="1">
      <c r="A675" s="37">
        <v>441</v>
      </c>
      <c r="B675" s="40" t="s">
        <v>228</v>
      </c>
      <c r="C675" s="40" t="s">
        <v>229</v>
      </c>
      <c r="D675" s="40" t="s">
        <v>62</v>
      </c>
      <c r="E675" s="41" t="s">
        <v>34</v>
      </c>
      <c r="F675" s="69">
        <v>40</v>
      </c>
      <c r="G675" s="295">
        <v>1722</v>
      </c>
      <c r="H675" s="40" t="s">
        <v>63</v>
      </c>
      <c r="I675" s="100"/>
      <c r="K675" s="74"/>
      <c r="L675" s="74"/>
      <c r="N675" s="74"/>
    </row>
    <row r="676" spans="1:14" ht="30" customHeight="1">
      <c r="A676" s="37">
        <v>442</v>
      </c>
      <c r="B676" s="40" t="s">
        <v>103</v>
      </c>
      <c r="C676" s="40" t="s">
        <v>104</v>
      </c>
      <c r="D676" s="40" t="s">
        <v>62</v>
      </c>
      <c r="E676" s="41" t="s">
        <v>25</v>
      </c>
      <c r="F676" s="69">
        <v>1200</v>
      </c>
      <c r="G676" s="295">
        <v>5568</v>
      </c>
      <c r="H676" s="40" t="s">
        <v>63</v>
      </c>
      <c r="I676" s="100"/>
      <c r="K676" s="74"/>
      <c r="L676" s="74"/>
      <c r="N676" s="74"/>
    </row>
    <row r="677" spans="1:14" ht="30" customHeight="1">
      <c r="A677" s="37">
        <v>443</v>
      </c>
      <c r="B677" s="40" t="s">
        <v>430</v>
      </c>
      <c r="C677" s="40" t="s">
        <v>231</v>
      </c>
      <c r="D677" s="40" t="s">
        <v>62</v>
      </c>
      <c r="E677" s="41" t="s">
        <v>77</v>
      </c>
      <c r="F677" s="69">
        <v>10</v>
      </c>
      <c r="G677" s="295">
        <v>593.5</v>
      </c>
      <c r="H677" s="40" t="s">
        <v>63</v>
      </c>
      <c r="I677" s="100"/>
      <c r="K677" s="74"/>
      <c r="L677" s="74"/>
      <c r="N677" s="74"/>
    </row>
    <row r="678" spans="1:14" ht="30" customHeight="1">
      <c r="A678" s="37">
        <v>444</v>
      </c>
      <c r="B678" s="38" t="s">
        <v>105</v>
      </c>
      <c r="C678" s="40" t="s">
        <v>70</v>
      </c>
      <c r="D678" s="40" t="s">
        <v>62</v>
      </c>
      <c r="E678" s="41" t="s">
        <v>34</v>
      </c>
      <c r="F678" s="69">
        <v>30</v>
      </c>
      <c r="G678" s="295">
        <v>997</v>
      </c>
      <c r="H678" s="40" t="s">
        <v>63</v>
      </c>
      <c r="I678" s="100"/>
      <c r="K678" s="74"/>
      <c r="L678" s="74"/>
      <c r="N678" s="74"/>
    </row>
    <row r="679" spans="1:14" ht="30" customHeight="1">
      <c r="A679" s="37">
        <v>445</v>
      </c>
      <c r="B679" s="38" t="s">
        <v>268</v>
      </c>
      <c r="C679" s="40" t="s">
        <v>70</v>
      </c>
      <c r="D679" s="40" t="s">
        <v>62</v>
      </c>
      <c r="E679" s="41" t="s">
        <v>34</v>
      </c>
      <c r="F679" s="69">
        <v>5</v>
      </c>
      <c r="G679" s="295">
        <v>102.1</v>
      </c>
      <c r="H679" s="40" t="s">
        <v>63</v>
      </c>
      <c r="I679" s="100"/>
      <c r="K679" s="74"/>
      <c r="L679" s="74"/>
      <c r="N679" s="74"/>
    </row>
    <row r="680" spans="1:14" s="10" customFormat="1" ht="30" customHeight="1">
      <c r="A680" s="296"/>
      <c r="B680" s="308" t="s">
        <v>106</v>
      </c>
      <c r="C680" s="327"/>
      <c r="D680" s="263"/>
      <c r="E680" s="263"/>
      <c r="F680" s="261"/>
      <c r="G680" s="297">
        <f>SUM(G650:G679)</f>
        <v>107520</v>
      </c>
      <c r="H680" s="265"/>
      <c r="I680" s="100"/>
      <c r="K680" s="267"/>
      <c r="L680" s="267"/>
      <c r="N680" s="267"/>
    </row>
    <row r="681" spans="1:12" ht="30" customHeight="1">
      <c r="A681" s="37">
        <v>446</v>
      </c>
      <c r="B681" s="38" t="s">
        <v>235</v>
      </c>
      <c r="C681" s="40" t="s">
        <v>116</v>
      </c>
      <c r="D681" s="40" t="s">
        <v>109</v>
      </c>
      <c r="E681" s="41" t="s">
        <v>113</v>
      </c>
      <c r="F681" s="50" t="s">
        <v>117</v>
      </c>
      <c r="G681" s="42">
        <v>1200</v>
      </c>
      <c r="H681" s="40" t="s">
        <v>63</v>
      </c>
      <c r="I681" s="100"/>
      <c r="K681" s="12">
        <f>154</f>
        <v>154</v>
      </c>
      <c r="L681" s="74">
        <f aca="true" t="shared" si="10" ref="L681:L693">G681-K681</f>
        <v>1046</v>
      </c>
    </row>
    <row r="682" spans="1:12" ht="30" customHeight="1">
      <c r="A682" s="37">
        <v>447</v>
      </c>
      <c r="B682" s="38" t="s">
        <v>431</v>
      </c>
      <c r="C682" s="40" t="s">
        <v>108</v>
      </c>
      <c r="D682" s="40" t="s">
        <v>109</v>
      </c>
      <c r="E682" s="41" t="s">
        <v>110</v>
      </c>
      <c r="F682" s="50">
        <v>6</v>
      </c>
      <c r="G682" s="42">
        <v>566.4</v>
      </c>
      <c r="H682" s="40" t="s">
        <v>63</v>
      </c>
      <c r="I682" s="100"/>
      <c r="L682" s="74"/>
    </row>
    <row r="683" spans="1:12" ht="30" customHeight="1">
      <c r="A683" s="37">
        <v>448</v>
      </c>
      <c r="B683" s="98" t="s">
        <v>296</v>
      </c>
      <c r="C683" s="99" t="s">
        <v>326</v>
      </c>
      <c r="D683" s="40" t="s">
        <v>109</v>
      </c>
      <c r="E683" s="41" t="s">
        <v>113</v>
      </c>
      <c r="F683" s="41" t="s">
        <v>117</v>
      </c>
      <c r="G683" s="42">
        <v>1413</v>
      </c>
      <c r="H683" s="40" t="s">
        <v>63</v>
      </c>
      <c r="I683" s="100"/>
      <c r="K683" s="12">
        <f>470.96</f>
        <v>470.96</v>
      </c>
      <c r="L683" s="74">
        <f t="shared" si="10"/>
        <v>942.04</v>
      </c>
    </row>
    <row r="684" spans="1:12" ht="30" customHeight="1">
      <c r="A684" s="37">
        <v>449</v>
      </c>
      <c r="B684" s="98" t="s">
        <v>295</v>
      </c>
      <c r="C684" s="99" t="s">
        <v>112</v>
      </c>
      <c r="D684" s="40" t="s">
        <v>109</v>
      </c>
      <c r="E684" s="41" t="s">
        <v>113</v>
      </c>
      <c r="F684" s="41" t="s">
        <v>432</v>
      </c>
      <c r="G684" s="42">
        <v>3600</v>
      </c>
      <c r="H684" s="40" t="s">
        <v>63</v>
      </c>
      <c r="I684" s="100"/>
      <c r="K684" s="12">
        <f>800</f>
        <v>800</v>
      </c>
      <c r="L684" s="74">
        <f t="shared" si="10"/>
        <v>2800</v>
      </c>
    </row>
    <row r="685" spans="1:12" ht="30" customHeight="1">
      <c r="A685" s="37">
        <v>450</v>
      </c>
      <c r="B685" s="38" t="s">
        <v>433</v>
      </c>
      <c r="C685" s="40" t="s">
        <v>234</v>
      </c>
      <c r="D685" s="40" t="s">
        <v>109</v>
      </c>
      <c r="E685" s="41" t="s">
        <v>113</v>
      </c>
      <c r="F685" s="50" t="s">
        <v>117</v>
      </c>
      <c r="G685" s="42">
        <v>3780</v>
      </c>
      <c r="H685" s="40" t="s">
        <v>63</v>
      </c>
      <c r="I685" s="100"/>
      <c r="L685" s="74">
        <f t="shared" si="10"/>
        <v>3780</v>
      </c>
    </row>
    <row r="686" spans="1:12" ht="30" customHeight="1">
      <c r="A686" s="37">
        <v>451</v>
      </c>
      <c r="B686" s="232" t="s">
        <v>284</v>
      </c>
      <c r="C686" s="40" t="s">
        <v>239</v>
      </c>
      <c r="D686" s="40" t="s">
        <v>109</v>
      </c>
      <c r="E686" s="41" t="s">
        <v>285</v>
      </c>
      <c r="F686" s="233">
        <v>110</v>
      </c>
      <c r="G686" s="42">
        <v>296</v>
      </c>
      <c r="H686" s="40" t="s">
        <v>19</v>
      </c>
      <c r="I686" s="100"/>
      <c r="L686" s="74">
        <f t="shared" si="10"/>
        <v>296</v>
      </c>
    </row>
    <row r="687" spans="1:12" ht="30" customHeight="1">
      <c r="A687" s="37">
        <v>452</v>
      </c>
      <c r="B687" s="232" t="s">
        <v>401</v>
      </c>
      <c r="C687" s="40" t="s">
        <v>239</v>
      </c>
      <c r="D687" s="40" t="s">
        <v>109</v>
      </c>
      <c r="E687" s="41" t="s">
        <v>285</v>
      </c>
      <c r="F687" s="233">
        <v>994</v>
      </c>
      <c r="G687" s="42">
        <v>2564.52</v>
      </c>
      <c r="H687" s="40" t="s">
        <v>19</v>
      </c>
      <c r="I687" s="100"/>
      <c r="L687" s="74">
        <f t="shared" si="10"/>
        <v>2564.52</v>
      </c>
    </row>
    <row r="688" spans="1:12" ht="30" customHeight="1">
      <c r="A688" s="37">
        <v>453</v>
      </c>
      <c r="B688" s="94" t="s">
        <v>434</v>
      </c>
      <c r="C688" s="40" t="s">
        <v>131</v>
      </c>
      <c r="D688" s="40" t="s">
        <v>109</v>
      </c>
      <c r="E688" s="41" t="s">
        <v>25</v>
      </c>
      <c r="F688" s="50">
        <v>3</v>
      </c>
      <c r="G688" s="42">
        <v>840</v>
      </c>
      <c r="H688" s="40" t="s">
        <v>132</v>
      </c>
      <c r="I688" s="100"/>
      <c r="L688" s="74">
        <f t="shared" si="10"/>
        <v>840</v>
      </c>
    </row>
    <row r="689" spans="1:12" ht="30" customHeight="1">
      <c r="A689" s="37">
        <v>454</v>
      </c>
      <c r="B689" s="232" t="s">
        <v>435</v>
      </c>
      <c r="C689" s="52" t="s">
        <v>242</v>
      </c>
      <c r="D689" s="40" t="s">
        <v>109</v>
      </c>
      <c r="E689" s="41" t="s">
        <v>25</v>
      </c>
      <c r="F689" s="41">
        <v>6</v>
      </c>
      <c r="G689" s="42">
        <v>1257.6</v>
      </c>
      <c r="H689" s="40" t="s">
        <v>132</v>
      </c>
      <c r="I689" s="100"/>
      <c r="L689" s="74">
        <f t="shared" si="10"/>
        <v>1257.6</v>
      </c>
    </row>
    <row r="690" spans="1:12" ht="45" customHeight="1">
      <c r="A690" s="37">
        <v>455</v>
      </c>
      <c r="B690" s="234" t="s">
        <v>436</v>
      </c>
      <c r="C690" s="52" t="s">
        <v>242</v>
      </c>
      <c r="D690" s="40" t="s">
        <v>109</v>
      </c>
      <c r="E690" s="41" t="s">
        <v>25</v>
      </c>
      <c r="F690" s="41">
        <v>3</v>
      </c>
      <c r="G690" s="42">
        <v>487.5</v>
      </c>
      <c r="H690" s="40" t="s">
        <v>132</v>
      </c>
      <c r="I690" s="100"/>
      <c r="L690" s="74">
        <f t="shared" si="10"/>
        <v>487.5</v>
      </c>
    </row>
    <row r="691" spans="1:12" ht="45" customHeight="1">
      <c r="A691" s="37">
        <v>456</v>
      </c>
      <c r="B691" s="234" t="s">
        <v>437</v>
      </c>
      <c r="C691" s="52" t="s">
        <v>242</v>
      </c>
      <c r="D691" s="40" t="s">
        <v>109</v>
      </c>
      <c r="E691" s="41" t="s">
        <v>25</v>
      </c>
      <c r="F691" s="41">
        <v>2</v>
      </c>
      <c r="G691" s="42">
        <v>384.478</v>
      </c>
      <c r="H691" s="40" t="s">
        <v>132</v>
      </c>
      <c r="I691" s="100"/>
      <c r="L691" s="74">
        <f t="shared" si="10"/>
        <v>384.478</v>
      </c>
    </row>
    <row r="692" spans="1:12" ht="30" customHeight="1">
      <c r="A692" s="37">
        <v>457</v>
      </c>
      <c r="B692" s="232" t="s">
        <v>438</v>
      </c>
      <c r="C692" s="52" t="s">
        <v>242</v>
      </c>
      <c r="D692" s="40" t="s">
        <v>109</v>
      </c>
      <c r="E692" s="41" t="s">
        <v>25</v>
      </c>
      <c r="F692" s="41">
        <v>3</v>
      </c>
      <c r="G692" s="42">
        <v>550.35</v>
      </c>
      <c r="H692" s="40" t="s">
        <v>132</v>
      </c>
      <c r="I692" s="100"/>
      <c r="L692" s="74">
        <f t="shared" si="10"/>
        <v>550.35</v>
      </c>
    </row>
    <row r="693" spans="1:12" ht="45" customHeight="1">
      <c r="A693" s="37">
        <v>458</v>
      </c>
      <c r="B693" s="38" t="s">
        <v>236</v>
      </c>
      <c r="C693" s="40" t="s">
        <v>119</v>
      </c>
      <c r="D693" s="40" t="s">
        <v>109</v>
      </c>
      <c r="E693" s="41" t="s">
        <v>120</v>
      </c>
      <c r="F693" s="41" t="s">
        <v>121</v>
      </c>
      <c r="G693" s="42">
        <v>4908.15</v>
      </c>
      <c r="H693" s="40" t="s">
        <v>63</v>
      </c>
      <c r="I693" s="100"/>
      <c r="K693" s="12">
        <v>1260</v>
      </c>
      <c r="L693" s="74">
        <f t="shared" si="10"/>
        <v>3648.1499999999996</v>
      </c>
    </row>
    <row r="694" spans="1:12" s="10" customFormat="1" ht="30" customHeight="1">
      <c r="A694" s="296"/>
      <c r="B694" s="260" t="s">
        <v>136</v>
      </c>
      <c r="C694" s="261"/>
      <c r="D694" s="262"/>
      <c r="E694" s="263"/>
      <c r="F694" s="263"/>
      <c r="G694" s="297">
        <f>SUM(G681:G693)</f>
        <v>21847.998</v>
      </c>
      <c r="H694" s="265"/>
      <c r="I694" s="100"/>
      <c r="K694" s="267">
        <f>SUM(K681:K693)</f>
        <v>2684.96</v>
      </c>
      <c r="L694" s="267" t="e">
        <f>SUM(#REF!)</f>
        <v>#REF!</v>
      </c>
    </row>
    <row r="695" spans="1:11" ht="30" customHeight="1">
      <c r="A695" s="37">
        <v>459</v>
      </c>
      <c r="B695" s="38" t="s">
        <v>137</v>
      </c>
      <c r="C695" s="52" t="s">
        <v>138</v>
      </c>
      <c r="D695" s="40" t="s">
        <v>139</v>
      </c>
      <c r="E695" s="41" t="s">
        <v>140</v>
      </c>
      <c r="F695" s="53">
        <f>G695/2878.55</f>
        <v>241.88567160549582</v>
      </c>
      <c r="G695" s="295">
        <v>696280</v>
      </c>
      <c r="H695" s="40" t="s">
        <v>63</v>
      </c>
      <c r="I695" s="100"/>
      <c r="K695" s="12">
        <f>287710</f>
        <v>287710</v>
      </c>
    </row>
    <row r="696" spans="1:9" s="10" customFormat="1" ht="30" customHeight="1">
      <c r="A696" s="296"/>
      <c r="B696" s="260" t="s">
        <v>141</v>
      </c>
      <c r="C696" s="261"/>
      <c r="D696" s="262"/>
      <c r="E696" s="263"/>
      <c r="F696" s="263"/>
      <c r="G696" s="297">
        <f>SUM(G695:G695)</f>
        <v>696280</v>
      </c>
      <c r="H696" s="265"/>
      <c r="I696" s="100"/>
    </row>
    <row r="697" spans="1:13" ht="30" customHeight="1">
      <c r="A697" s="37">
        <v>460</v>
      </c>
      <c r="B697" s="38" t="s">
        <v>142</v>
      </c>
      <c r="C697" s="54" t="s">
        <v>143</v>
      </c>
      <c r="D697" s="40" t="s">
        <v>144</v>
      </c>
      <c r="E697" s="41" t="s">
        <v>145</v>
      </c>
      <c r="F697" s="56">
        <f>G697/4.143</f>
        <v>10967.41491672701</v>
      </c>
      <c r="G697" s="295">
        <v>45438</v>
      </c>
      <c r="H697" s="40" t="s">
        <v>63</v>
      </c>
      <c r="I697" s="100"/>
      <c r="K697" s="12">
        <f>11737.12+6432.15</f>
        <v>18169.27</v>
      </c>
      <c r="L697" s="240">
        <f>F697-J697</f>
        <v>10967.41491672701</v>
      </c>
      <c r="M697" s="74">
        <f>G697-K697</f>
        <v>27268.73</v>
      </c>
    </row>
    <row r="698" spans="1:9" s="10" customFormat="1" ht="30" customHeight="1">
      <c r="A698" s="296"/>
      <c r="B698" s="260" t="s">
        <v>146</v>
      </c>
      <c r="C698" s="261"/>
      <c r="D698" s="262"/>
      <c r="E698" s="263"/>
      <c r="F698" s="263"/>
      <c r="G698" s="297">
        <f>G697</f>
        <v>45438</v>
      </c>
      <c r="H698" s="265"/>
      <c r="I698" s="100"/>
    </row>
    <row r="699" spans="1:9" ht="22.5" customHeight="1">
      <c r="A699" s="19"/>
      <c r="B699" s="208" t="s">
        <v>151</v>
      </c>
      <c r="C699" s="167"/>
      <c r="D699" s="168"/>
      <c r="E699" s="207"/>
      <c r="F699" s="207"/>
      <c r="G699" s="304"/>
      <c r="H699" s="8"/>
      <c r="I699" s="223"/>
    </row>
    <row r="700" spans="1:9" ht="22.5" customHeight="1">
      <c r="A700" s="19"/>
      <c r="B700" s="106" t="s">
        <v>152</v>
      </c>
      <c r="C700" s="107"/>
      <c r="D700" s="108" t="s">
        <v>153</v>
      </c>
      <c r="E700" s="109"/>
      <c r="F700" s="109"/>
      <c r="G700" s="304"/>
      <c r="H700" s="171"/>
      <c r="I700" s="223"/>
    </row>
    <row r="701" spans="1:9" s="8" customFormat="1" ht="22.5" customHeight="1">
      <c r="A701" s="19"/>
      <c r="B701" s="111"/>
      <c r="C701" s="9"/>
      <c r="D701" s="112" t="s">
        <v>154</v>
      </c>
      <c r="E701" s="113" t="s">
        <v>155</v>
      </c>
      <c r="F701" s="114"/>
      <c r="G701" s="304"/>
      <c r="H701" s="171"/>
      <c r="I701" s="223"/>
    </row>
    <row r="702" spans="1:9" s="8" customFormat="1" ht="22.5" customHeight="1">
      <c r="A702" s="19"/>
      <c r="B702" s="115" t="s">
        <v>156</v>
      </c>
      <c r="C702" s="116"/>
      <c r="D702" s="108" t="s">
        <v>157</v>
      </c>
      <c r="E702" s="109"/>
      <c r="F702" s="109"/>
      <c r="G702" s="304"/>
      <c r="H702" s="171"/>
      <c r="I702" s="223"/>
    </row>
    <row r="703" spans="1:9" ht="22.5" customHeight="1">
      <c r="A703" s="19"/>
      <c r="B703" s="111"/>
      <c r="C703" s="9"/>
      <c r="D703" s="112" t="s">
        <v>154</v>
      </c>
      <c r="E703" s="113"/>
      <c r="F703" s="114"/>
      <c r="G703" s="304"/>
      <c r="H703" s="8"/>
      <c r="I703" s="141"/>
    </row>
    <row r="704" spans="1:9" s="8" customFormat="1" ht="22.5" customHeight="1">
      <c r="A704" s="19"/>
      <c r="B704" s="115" t="s">
        <v>158</v>
      </c>
      <c r="C704" s="9"/>
      <c r="D704" s="9"/>
      <c r="E704" s="9"/>
      <c r="F704" s="9"/>
      <c r="G704" s="304"/>
      <c r="H704" s="171"/>
      <c r="I704" s="223"/>
    </row>
    <row r="705" spans="1:9" s="2" customFormat="1" ht="30" customHeight="1">
      <c r="A705" s="169"/>
      <c r="B705" s="229" t="s">
        <v>159</v>
      </c>
      <c r="C705" s="167"/>
      <c r="D705" s="291" t="s">
        <v>160</v>
      </c>
      <c r="E705" s="229"/>
      <c r="F705" s="167"/>
      <c r="G705" s="307"/>
      <c r="H705" s="171"/>
      <c r="I705" s="326"/>
    </row>
    <row r="706" spans="1:9" ht="22.5" customHeight="1">
      <c r="A706" s="19"/>
      <c r="B706" s="230" t="s">
        <v>161</v>
      </c>
      <c r="C706" s="167"/>
      <c r="D706" s="168"/>
      <c r="E706" s="207"/>
      <c r="F706" s="207"/>
      <c r="G706" s="304"/>
      <c r="H706" s="8"/>
      <c r="I706" s="223"/>
    </row>
    <row r="707" spans="1:9" ht="67.5" customHeight="1">
      <c r="A707" s="19"/>
      <c r="B707" s="8" t="s">
        <v>0</v>
      </c>
      <c r="C707" s="20"/>
      <c r="D707" s="21"/>
      <c r="E707" s="22"/>
      <c r="F707" s="23" t="s">
        <v>1</v>
      </c>
      <c r="G707" s="23"/>
      <c r="H707" s="21"/>
      <c r="I707" s="70"/>
    </row>
    <row r="708" spans="1:9" ht="45.75" customHeight="1">
      <c r="A708" s="317" t="s">
        <v>407</v>
      </c>
      <c r="B708" s="317"/>
      <c r="C708" s="317"/>
      <c r="D708" s="317"/>
      <c r="E708" s="317"/>
      <c r="F708" s="317"/>
      <c r="G708" s="317"/>
      <c r="H708" s="317"/>
      <c r="I708" s="317"/>
    </row>
    <row r="709" spans="1:9" s="7" customFormat="1" ht="29.25" customHeight="1" hidden="1">
      <c r="A709" s="35" t="s">
        <v>676</v>
      </c>
      <c r="B709" s="173"/>
      <c r="C709" s="173"/>
      <c r="D709" s="173"/>
      <c r="E709" s="173"/>
      <c r="F709" s="173"/>
      <c r="G709" s="173"/>
      <c r="H709" s="173"/>
      <c r="I709" s="173"/>
    </row>
    <row r="710" spans="3:9" ht="15" customHeight="1">
      <c r="C710" s="124"/>
      <c r="D710" s="125" t="s">
        <v>4</v>
      </c>
      <c r="E710" s="124"/>
      <c r="F710" s="124"/>
      <c r="G710" s="3"/>
      <c r="H710" s="16"/>
      <c r="I710" s="16"/>
    </row>
    <row r="711" spans="5:6" ht="15" customHeight="1">
      <c r="E711" s="3"/>
      <c r="F711" s="3"/>
    </row>
    <row r="712" spans="1:11" ht="15.75" customHeight="1">
      <c r="A712" s="26" t="s">
        <v>5</v>
      </c>
      <c r="B712" s="27" t="s">
        <v>6</v>
      </c>
      <c r="C712" s="28" t="s">
        <v>7</v>
      </c>
      <c r="D712" s="28" t="s">
        <v>249</v>
      </c>
      <c r="E712" s="28" t="s">
        <v>9</v>
      </c>
      <c r="F712" s="28" t="s">
        <v>10</v>
      </c>
      <c r="G712" s="28" t="s">
        <v>250</v>
      </c>
      <c r="H712" s="28" t="s">
        <v>251</v>
      </c>
      <c r="I712" s="28" t="s">
        <v>13</v>
      </c>
      <c r="J712" s="71"/>
      <c r="K712" s="71"/>
    </row>
    <row r="713" spans="1:9" ht="22.5" customHeight="1">
      <c r="A713" s="29"/>
      <c r="B713" s="30"/>
      <c r="C713" s="31"/>
      <c r="D713" s="31"/>
      <c r="E713" s="31"/>
      <c r="F713" s="31"/>
      <c r="G713" s="31"/>
      <c r="H713" s="31"/>
      <c r="I713" s="31"/>
    </row>
    <row r="714" spans="1:9" ht="37.5" customHeight="1">
      <c r="A714" s="32"/>
      <c r="B714" s="33"/>
      <c r="C714" s="34"/>
      <c r="D714" s="34"/>
      <c r="E714" s="34"/>
      <c r="F714" s="34"/>
      <c r="G714" s="34"/>
      <c r="H714" s="34"/>
      <c r="I714" s="34"/>
    </row>
    <row r="715" spans="1:14" ht="20.25" customHeight="1">
      <c r="A715" s="32">
        <v>1</v>
      </c>
      <c r="B715" s="33">
        <v>2</v>
      </c>
      <c r="C715" s="34">
        <v>3</v>
      </c>
      <c r="D715" s="34">
        <v>4</v>
      </c>
      <c r="E715" s="34">
        <v>5</v>
      </c>
      <c r="F715" s="34">
        <v>6</v>
      </c>
      <c r="G715" s="34">
        <v>7</v>
      </c>
      <c r="H715" s="34">
        <v>8</v>
      </c>
      <c r="I715" s="72">
        <v>9</v>
      </c>
      <c r="N715" s="12" t="s">
        <v>14</v>
      </c>
    </row>
    <row r="716" spans="1:15" s="6" customFormat="1" ht="30" customHeight="1">
      <c r="A716" s="37">
        <v>461</v>
      </c>
      <c r="B716" s="160" t="s">
        <v>15</v>
      </c>
      <c r="C716" s="39" t="s">
        <v>16</v>
      </c>
      <c r="D716" s="133" t="s">
        <v>17</v>
      </c>
      <c r="E716" s="41" t="s">
        <v>18</v>
      </c>
      <c r="F716" s="41">
        <v>10</v>
      </c>
      <c r="G716" s="42">
        <v>2100</v>
      </c>
      <c r="H716" s="155" t="s">
        <v>19</v>
      </c>
      <c r="I716" s="73" t="s">
        <v>253</v>
      </c>
      <c r="L716" s="166">
        <f>G716-K716</f>
        <v>2100</v>
      </c>
      <c r="N716" s="6">
        <v>3</v>
      </c>
      <c r="O716" s="6">
        <v>780</v>
      </c>
    </row>
    <row r="717" spans="1:12" s="6" customFormat="1" ht="30" customHeight="1">
      <c r="A717" s="37">
        <v>462</v>
      </c>
      <c r="B717" s="160" t="s">
        <v>23</v>
      </c>
      <c r="C717" s="133" t="s">
        <v>24</v>
      </c>
      <c r="D717" s="133" t="s">
        <v>17</v>
      </c>
      <c r="E717" s="41" t="s">
        <v>22</v>
      </c>
      <c r="F717" s="41">
        <v>1</v>
      </c>
      <c r="G717" s="42">
        <v>170</v>
      </c>
      <c r="H717" s="155" t="s">
        <v>19</v>
      </c>
      <c r="I717" s="100"/>
      <c r="L717" s="166"/>
    </row>
    <row r="718" spans="1:12" s="6" customFormat="1" ht="30" customHeight="1">
      <c r="A718" s="37">
        <v>463</v>
      </c>
      <c r="B718" s="160" t="s">
        <v>408</v>
      </c>
      <c r="C718" s="136" t="s">
        <v>409</v>
      </c>
      <c r="D718" s="133" t="s">
        <v>17</v>
      </c>
      <c r="E718" s="41" t="s">
        <v>25</v>
      </c>
      <c r="F718" s="41">
        <v>2</v>
      </c>
      <c r="G718" s="42">
        <v>172</v>
      </c>
      <c r="H718" s="155" t="s">
        <v>19</v>
      </c>
      <c r="I718" s="100"/>
      <c r="L718" s="166"/>
    </row>
    <row r="719" spans="1:12" s="6" customFormat="1" ht="30" customHeight="1">
      <c r="A719" s="37">
        <v>464</v>
      </c>
      <c r="B719" s="160" t="s">
        <v>410</v>
      </c>
      <c r="C719" s="43" t="s">
        <v>52</v>
      </c>
      <c r="D719" s="133" t="s">
        <v>17</v>
      </c>
      <c r="E719" s="41" t="s">
        <v>25</v>
      </c>
      <c r="F719" s="41">
        <v>11</v>
      </c>
      <c r="G719" s="42">
        <v>217.8</v>
      </c>
      <c r="H719" s="155" t="s">
        <v>19</v>
      </c>
      <c r="I719" s="100"/>
      <c r="L719" s="166"/>
    </row>
    <row r="720" spans="1:12" ht="30" customHeight="1">
      <c r="A720" s="37">
        <v>465</v>
      </c>
      <c r="B720" s="38" t="s">
        <v>57</v>
      </c>
      <c r="C720" s="40" t="s">
        <v>58</v>
      </c>
      <c r="D720" s="40" t="s">
        <v>17</v>
      </c>
      <c r="E720" s="41" t="s">
        <v>25</v>
      </c>
      <c r="F720" s="41">
        <v>1</v>
      </c>
      <c r="G720" s="295">
        <v>2500.2</v>
      </c>
      <c r="H720" s="155" t="s">
        <v>19</v>
      </c>
      <c r="I720" s="100"/>
      <c r="L720" s="74"/>
    </row>
    <row r="721" spans="1:11" s="10" customFormat="1" ht="29.25" customHeight="1">
      <c r="A721" s="296"/>
      <c r="B721" s="260" t="s">
        <v>59</v>
      </c>
      <c r="C721" s="261"/>
      <c r="D721" s="262"/>
      <c r="E721" s="263"/>
      <c r="F721" s="263"/>
      <c r="G721" s="297">
        <f>SUM(G716:G720)</f>
        <v>5160</v>
      </c>
      <c r="H721" s="265"/>
      <c r="I721" s="100"/>
      <c r="K721" s="10">
        <f>SUM(K716:K720)</f>
        <v>0</v>
      </c>
    </row>
    <row r="722" spans="1:9" ht="30" customHeight="1">
      <c r="A722" s="37">
        <v>466</v>
      </c>
      <c r="B722" s="38" t="s">
        <v>64</v>
      </c>
      <c r="C722" s="40" t="s">
        <v>65</v>
      </c>
      <c r="D722" s="40" t="s">
        <v>62</v>
      </c>
      <c r="E722" s="41" t="s">
        <v>34</v>
      </c>
      <c r="F722" s="69">
        <f>25+49</f>
        <v>74</v>
      </c>
      <c r="G722" s="295">
        <v>1260.7</v>
      </c>
      <c r="H722" s="133" t="s">
        <v>63</v>
      </c>
      <c r="I722" s="100"/>
    </row>
    <row r="723" spans="1:9" ht="30" customHeight="1">
      <c r="A723" s="37">
        <v>467</v>
      </c>
      <c r="B723" s="38" t="s">
        <v>71</v>
      </c>
      <c r="C723" s="71" t="s">
        <v>72</v>
      </c>
      <c r="D723" s="40" t="s">
        <v>62</v>
      </c>
      <c r="E723" s="41" t="s">
        <v>34</v>
      </c>
      <c r="F723" s="69">
        <v>3</v>
      </c>
      <c r="G723" s="295">
        <v>47.6</v>
      </c>
      <c r="H723" s="133" t="s">
        <v>63</v>
      </c>
      <c r="I723" s="100"/>
    </row>
    <row r="724" spans="1:9" ht="45" customHeight="1">
      <c r="A724" s="37">
        <v>468</v>
      </c>
      <c r="B724" s="38" t="s">
        <v>73</v>
      </c>
      <c r="C724" s="40" t="s">
        <v>74</v>
      </c>
      <c r="D724" s="40" t="s">
        <v>62</v>
      </c>
      <c r="E724" s="41" t="s">
        <v>34</v>
      </c>
      <c r="F724" s="69">
        <v>6</v>
      </c>
      <c r="G724" s="295">
        <v>140.8</v>
      </c>
      <c r="H724" s="133" t="s">
        <v>63</v>
      </c>
      <c r="I724" s="100"/>
    </row>
    <row r="725" spans="1:9" ht="30" customHeight="1">
      <c r="A725" s="37">
        <v>469</v>
      </c>
      <c r="B725" s="38" t="s">
        <v>78</v>
      </c>
      <c r="C725" s="40" t="s">
        <v>79</v>
      </c>
      <c r="D725" s="40" t="s">
        <v>62</v>
      </c>
      <c r="E725" s="41" t="s">
        <v>34</v>
      </c>
      <c r="F725" s="69">
        <v>2</v>
      </c>
      <c r="G725" s="295">
        <v>615.5</v>
      </c>
      <c r="H725" s="133" t="s">
        <v>63</v>
      </c>
      <c r="I725" s="100"/>
    </row>
    <row r="726" spans="1:9" ht="30" customHeight="1">
      <c r="A726" s="37">
        <v>470</v>
      </c>
      <c r="B726" s="38" t="s">
        <v>83</v>
      </c>
      <c r="C726" s="40" t="s">
        <v>72</v>
      </c>
      <c r="D726" s="40" t="s">
        <v>62</v>
      </c>
      <c r="E726" s="41" t="s">
        <v>34</v>
      </c>
      <c r="F726" s="69">
        <v>3</v>
      </c>
      <c r="G726" s="295">
        <v>77.9</v>
      </c>
      <c r="H726" s="133" t="s">
        <v>63</v>
      </c>
      <c r="I726" s="100"/>
    </row>
    <row r="727" spans="1:9" ht="45">
      <c r="A727" s="37">
        <v>471</v>
      </c>
      <c r="B727" s="38" t="s">
        <v>84</v>
      </c>
      <c r="C727" s="40" t="s">
        <v>85</v>
      </c>
      <c r="D727" s="40" t="s">
        <v>62</v>
      </c>
      <c r="E727" s="41" t="s">
        <v>34</v>
      </c>
      <c r="F727" s="69">
        <v>3.9</v>
      </c>
      <c r="G727" s="295">
        <v>455.13</v>
      </c>
      <c r="H727" s="133" t="s">
        <v>63</v>
      </c>
      <c r="I727" s="100"/>
    </row>
    <row r="728" spans="1:9" ht="30" customHeight="1">
      <c r="A728" s="37">
        <v>472</v>
      </c>
      <c r="B728" s="38" t="s">
        <v>665</v>
      </c>
      <c r="C728" s="40" t="s">
        <v>666</v>
      </c>
      <c r="D728" s="40" t="s">
        <v>62</v>
      </c>
      <c r="E728" s="41" t="s">
        <v>34</v>
      </c>
      <c r="F728" s="69">
        <v>9</v>
      </c>
      <c r="G728" s="295">
        <v>1230.36</v>
      </c>
      <c r="H728" s="133" t="s">
        <v>63</v>
      </c>
      <c r="I728" s="100"/>
    </row>
    <row r="729" spans="1:9" ht="30" customHeight="1">
      <c r="A729" s="37">
        <v>473</v>
      </c>
      <c r="B729" s="38" t="s">
        <v>88</v>
      </c>
      <c r="C729" s="40" t="s">
        <v>85</v>
      </c>
      <c r="D729" s="40" t="s">
        <v>62</v>
      </c>
      <c r="E729" s="41" t="s">
        <v>34</v>
      </c>
      <c r="F729" s="69">
        <v>4</v>
      </c>
      <c r="G729" s="295">
        <v>497.1</v>
      </c>
      <c r="H729" s="133" t="s">
        <v>63</v>
      </c>
      <c r="I729" s="100"/>
    </row>
    <row r="730" spans="1:9" ht="30" customHeight="1">
      <c r="A730" s="37">
        <v>474</v>
      </c>
      <c r="B730" s="38" t="s">
        <v>89</v>
      </c>
      <c r="C730" s="40" t="s">
        <v>90</v>
      </c>
      <c r="D730" s="40" t="s">
        <v>62</v>
      </c>
      <c r="E730" s="41" t="s">
        <v>34</v>
      </c>
      <c r="F730" s="69">
        <v>6</v>
      </c>
      <c r="G730" s="295">
        <v>297.4</v>
      </c>
      <c r="H730" s="133" t="s">
        <v>63</v>
      </c>
      <c r="I730" s="100"/>
    </row>
    <row r="731" spans="1:9" ht="30" customHeight="1">
      <c r="A731" s="37">
        <v>475</v>
      </c>
      <c r="B731" s="38" t="s">
        <v>91</v>
      </c>
      <c r="C731" s="40" t="s">
        <v>92</v>
      </c>
      <c r="D731" s="40" t="s">
        <v>62</v>
      </c>
      <c r="E731" s="41" t="s">
        <v>34</v>
      </c>
      <c r="F731" s="69">
        <v>8</v>
      </c>
      <c r="G731" s="295">
        <v>1337.3</v>
      </c>
      <c r="H731" s="133" t="s">
        <v>63</v>
      </c>
      <c r="I731" s="100"/>
    </row>
    <row r="732" spans="1:9" ht="30" customHeight="1">
      <c r="A732" s="37">
        <v>476</v>
      </c>
      <c r="B732" s="38" t="s">
        <v>274</v>
      </c>
      <c r="C732" s="40" t="s">
        <v>275</v>
      </c>
      <c r="D732" s="40" t="s">
        <v>62</v>
      </c>
      <c r="E732" s="41" t="s">
        <v>34</v>
      </c>
      <c r="F732" s="69">
        <v>4</v>
      </c>
      <c r="G732" s="295">
        <v>144</v>
      </c>
      <c r="H732" s="133" t="s">
        <v>63</v>
      </c>
      <c r="I732" s="100"/>
    </row>
    <row r="733" spans="1:9" ht="30" customHeight="1">
      <c r="A733" s="37">
        <v>477</v>
      </c>
      <c r="B733" s="38" t="s">
        <v>93</v>
      </c>
      <c r="C733" s="40" t="s">
        <v>94</v>
      </c>
      <c r="D733" s="40" t="s">
        <v>62</v>
      </c>
      <c r="E733" s="41" t="s">
        <v>34</v>
      </c>
      <c r="F733" s="69">
        <f>0.38+2.28</f>
        <v>2.6599999999999997</v>
      </c>
      <c r="G733" s="295">
        <v>345.38</v>
      </c>
      <c r="H733" s="133" t="s">
        <v>63</v>
      </c>
      <c r="I733" s="100"/>
    </row>
    <row r="734" spans="1:9" ht="30" customHeight="1">
      <c r="A734" s="37">
        <v>478</v>
      </c>
      <c r="B734" s="40" t="s">
        <v>95</v>
      </c>
      <c r="C734" s="40" t="s">
        <v>96</v>
      </c>
      <c r="D734" s="40" t="s">
        <v>62</v>
      </c>
      <c r="E734" s="41" t="s">
        <v>34</v>
      </c>
      <c r="F734" s="69">
        <v>15</v>
      </c>
      <c r="G734" s="295">
        <v>3045.5</v>
      </c>
      <c r="H734" s="133" t="s">
        <v>63</v>
      </c>
      <c r="I734" s="100"/>
    </row>
    <row r="735" spans="1:9" ht="30" customHeight="1">
      <c r="A735" s="37">
        <v>479</v>
      </c>
      <c r="B735" s="40" t="s">
        <v>667</v>
      </c>
      <c r="C735" s="40" t="s">
        <v>668</v>
      </c>
      <c r="D735" s="40" t="s">
        <v>62</v>
      </c>
      <c r="E735" s="41" t="s">
        <v>34</v>
      </c>
      <c r="F735" s="69">
        <v>12</v>
      </c>
      <c r="G735" s="295">
        <v>2619</v>
      </c>
      <c r="H735" s="133" t="s">
        <v>63</v>
      </c>
      <c r="I735" s="100"/>
    </row>
    <row r="736" spans="1:9" ht="45" customHeight="1">
      <c r="A736" s="37">
        <v>480</v>
      </c>
      <c r="B736" s="54" t="s">
        <v>98</v>
      </c>
      <c r="C736" s="40" t="s">
        <v>61</v>
      </c>
      <c r="D736" s="40" t="s">
        <v>62</v>
      </c>
      <c r="E736" s="41" t="s">
        <v>25</v>
      </c>
      <c r="F736" s="69">
        <v>59</v>
      </c>
      <c r="G736" s="295">
        <v>748.23</v>
      </c>
      <c r="H736" s="133" t="s">
        <v>63</v>
      </c>
      <c r="I736" s="100"/>
    </row>
    <row r="737" spans="1:9" ht="30" customHeight="1">
      <c r="A737" s="37">
        <v>481</v>
      </c>
      <c r="B737" s="40" t="s">
        <v>99</v>
      </c>
      <c r="C737" s="40" t="s">
        <v>100</v>
      </c>
      <c r="D737" s="40" t="s">
        <v>62</v>
      </c>
      <c r="E737" s="41" t="s">
        <v>34</v>
      </c>
      <c r="F737" s="69">
        <v>5</v>
      </c>
      <c r="G737" s="295">
        <v>1509.52</v>
      </c>
      <c r="H737" s="133" t="s">
        <v>63</v>
      </c>
      <c r="I737" s="100"/>
    </row>
    <row r="738" spans="1:9" ht="30" customHeight="1">
      <c r="A738" s="37">
        <v>482</v>
      </c>
      <c r="B738" s="40" t="s">
        <v>101</v>
      </c>
      <c r="C738" s="40" t="s">
        <v>102</v>
      </c>
      <c r="D738" s="40" t="s">
        <v>62</v>
      </c>
      <c r="E738" s="41" t="s">
        <v>34</v>
      </c>
      <c r="F738" s="69">
        <v>0.4</v>
      </c>
      <c r="G738" s="295">
        <v>238</v>
      </c>
      <c r="H738" s="133" t="s">
        <v>63</v>
      </c>
      <c r="I738" s="100"/>
    </row>
    <row r="739" spans="1:9" ht="30" customHeight="1">
      <c r="A739" s="37">
        <v>483</v>
      </c>
      <c r="B739" s="40" t="s">
        <v>228</v>
      </c>
      <c r="C739" s="40" t="s">
        <v>229</v>
      </c>
      <c r="D739" s="40" t="s">
        <v>62</v>
      </c>
      <c r="E739" s="41" t="s">
        <v>34</v>
      </c>
      <c r="F739" s="69">
        <v>10</v>
      </c>
      <c r="G739" s="295">
        <v>452</v>
      </c>
      <c r="H739" s="133" t="s">
        <v>63</v>
      </c>
      <c r="I739" s="100"/>
    </row>
    <row r="740" spans="1:9" ht="30" customHeight="1">
      <c r="A740" s="37">
        <v>484</v>
      </c>
      <c r="B740" s="40" t="s">
        <v>103</v>
      </c>
      <c r="C740" s="40" t="s">
        <v>104</v>
      </c>
      <c r="D740" s="40" t="s">
        <v>62</v>
      </c>
      <c r="E740" s="41" t="s">
        <v>25</v>
      </c>
      <c r="F740" s="69">
        <v>225</v>
      </c>
      <c r="G740" s="295">
        <v>1044</v>
      </c>
      <c r="H740" s="133" t="s">
        <v>63</v>
      </c>
      <c r="I740" s="100"/>
    </row>
    <row r="741" spans="1:9" ht="30" customHeight="1">
      <c r="A741" s="37">
        <v>485</v>
      </c>
      <c r="B741" s="38" t="s">
        <v>105</v>
      </c>
      <c r="C741" s="40" t="s">
        <v>70</v>
      </c>
      <c r="D741" s="40" t="s">
        <v>62</v>
      </c>
      <c r="E741" s="41" t="s">
        <v>34</v>
      </c>
      <c r="F741" s="69">
        <v>3</v>
      </c>
      <c r="G741" s="295">
        <v>99.7</v>
      </c>
      <c r="H741" s="133" t="s">
        <v>63</v>
      </c>
      <c r="I741" s="100"/>
    </row>
    <row r="742" spans="1:9" ht="45" customHeight="1">
      <c r="A742" s="37">
        <v>486</v>
      </c>
      <c r="B742" s="235" t="s">
        <v>60</v>
      </c>
      <c r="C742" s="236" t="s">
        <v>61</v>
      </c>
      <c r="D742" s="236" t="s">
        <v>62</v>
      </c>
      <c r="E742" s="83" t="s">
        <v>34</v>
      </c>
      <c r="F742" s="237">
        <v>0.8</v>
      </c>
      <c r="G742" s="295">
        <v>34.88</v>
      </c>
      <c r="H742" s="133" t="s">
        <v>63</v>
      </c>
      <c r="I742" s="100"/>
    </row>
    <row r="743" spans="1:9" s="10" customFormat="1" ht="29.25" customHeight="1">
      <c r="A743" s="296"/>
      <c r="B743" s="308" t="s">
        <v>106</v>
      </c>
      <c r="C743" s="328"/>
      <c r="D743" s="329"/>
      <c r="E743" s="330"/>
      <c r="F743" s="263"/>
      <c r="G743" s="297">
        <f>SUM(G722:G742)</f>
        <v>16240</v>
      </c>
      <c r="H743" s="265"/>
      <c r="I743" s="100"/>
    </row>
    <row r="744" spans="1:12" s="6" customFormat="1" ht="30" customHeight="1">
      <c r="A744" s="37">
        <v>489</v>
      </c>
      <c r="B744" s="160" t="s">
        <v>111</v>
      </c>
      <c r="C744" s="133" t="s">
        <v>112</v>
      </c>
      <c r="D744" s="133" t="s">
        <v>109</v>
      </c>
      <c r="E744" s="41" t="s">
        <v>113</v>
      </c>
      <c r="F744" s="41" t="s">
        <v>411</v>
      </c>
      <c r="G744" s="42">
        <v>360</v>
      </c>
      <c r="H744" s="133" t="s">
        <v>63</v>
      </c>
      <c r="I744" s="100"/>
      <c r="K744" s="6">
        <v>100</v>
      </c>
      <c r="L744" s="166">
        <f>G744-K744</f>
        <v>260</v>
      </c>
    </row>
    <row r="745" spans="1:12" s="6" customFormat="1" ht="30" customHeight="1">
      <c r="A745" s="37">
        <v>490</v>
      </c>
      <c r="B745" s="160" t="s">
        <v>115</v>
      </c>
      <c r="C745" s="133" t="s">
        <v>116</v>
      </c>
      <c r="D745" s="133" t="s">
        <v>109</v>
      </c>
      <c r="E745" s="41" t="s">
        <v>113</v>
      </c>
      <c r="F745" s="50" t="s">
        <v>117</v>
      </c>
      <c r="G745" s="42">
        <v>492</v>
      </c>
      <c r="H745" s="133" t="s">
        <v>412</v>
      </c>
      <c r="I745" s="100"/>
      <c r="K745" s="6">
        <f>154</f>
        <v>154</v>
      </c>
      <c r="L745" s="166">
        <f>G745-K745</f>
        <v>338</v>
      </c>
    </row>
    <row r="746" spans="1:12" s="6" customFormat="1" ht="44.25" customHeight="1">
      <c r="A746" s="37">
        <v>491</v>
      </c>
      <c r="B746" s="160" t="s">
        <v>118</v>
      </c>
      <c r="C746" s="133" t="s">
        <v>119</v>
      </c>
      <c r="D746" s="133" t="s">
        <v>109</v>
      </c>
      <c r="E746" s="41" t="s">
        <v>120</v>
      </c>
      <c r="F746" s="41" t="s">
        <v>121</v>
      </c>
      <c r="G746" s="42">
        <v>1285.85</v>
      </c>
      <c r="H746" s="133" t="s">
        <v>63</v>
      </c>
      <c r="I746" s="100"/>
      <c r="K746" s="6">
        <f>615.68</f>
        <v>615.68</v>
      </c>
      <c r="L746" s="166">
        <f>G746-K746</f>
        <v>670.17</v>
      </c>
    </row>
    <row r="747" spans="1:12" s="6" customFormat="1" ht="29.25" customHeight="1">
      <c r="A747" s="37">
        <v>492</v>
      </c>
      <c r="B747" s="160" t="s">
        <v>124</v>
      </c>
      <c r="C747" s="161" t="s">
        <v>239</v>
      </c>
      <c r="D747" s="133" t="s">
        <v>109</v>
      </c>
      <c r="E747" s="41" t="s">
        <v>126</v>
      </c>
      <c r="F747" s="41">
        <v>30</v>
      </c>
      <c r="G747" s="42">
        <v>88.8</v>
      </c>
      <c r="H747" s="133" t="s">
        <v>19</v>
      </c>
      <c r="I747" s="100"/>
      <c r="L747" s="166">
        <f>G747-K747</f>
        <v>88.8</v>
      </c>
    </row>
    <row r="748" spans="1:12" s="6" customFormat="1" ht="29.25" customHeight="1">
      <c r="A748" s="37">
        <v>493</v>
      </c>
      <c r="B748" s="160" t="s">
        <v>127</v>
      </c>
      <c r="C748" s="161" t="s">
        <v>239</v>
      </c>
      <c r="D748" s="133" t="s">
        <v>109</v>
      </c>
      <c r="E748" s="41" t="s">
        <v>126</v>
      </c>
      <c r="F748" s="41">
        <v>772.9</v>
      </c>
      <c r="G748" s="42">
        <v>1994.08</v>
      </c>
      <c r="H748" s="133" t="s">
        <v>19</v>
      </c>
      <c r="I748" s="100"/>
      <c r="L748" s="166">
        <f>G748-K748</f>
        <v>1994.08</v>
      </c>
    </row>
    <row r="749" spans="1:12" ht="45" customHeight="1">
      <c r="A749" s="37">
        <v>494</v>
      </c>
      <c r="B749" s="38" t="s">
        <v>128</v>
      </c>
      <c r="C749" s="40" t="s">
        <v>129</v>
      </c>
      <c r="D749" s="40" t="s">
        <v>109</v>
      </c>
      <c r="E749" s="41" t="s">
        <v>25</v>
      </c>
      <c r="F749" s="41">
        <v>1</v>
      </c>
      <c r="G749" s="163">
        <v>56923</v>
      </c>
      <c r="H749" s="155" t="s">
        <v>63</v>
      </c>
      <c r="I749" s="100"/>
      <c r="L749" s="74"/>
    </row>
    <row r="750" spans="1:12" ht="45" customHeight="1">
      <c r="A750" s="37">
        <v>495</v>
      </c>
      <c r="B750" s="38" t="s">
        <v>413</v>
      </c>
      <c r="C750" s="88" t="s">
        <v>242</v>
      </c>
      <c r="D750" s="40" t="s">
        <v>109</v>
      </c>
      <c r="E750" s="41" t="s">
        <v>25</v>
      </c>
      <c r="F750" s="41">
        <v>3</v>
      </c>
      <c r="G750" s="311">
        <v>576.72</v>
      </c>
      <c r="H750" s="155" t="s">
        <v>132</v>
      </c>
      <c r="I750" s="100"/>
      <c r="L750" s="74"/>
    </row>
    <row r="751" spans="1:12" ht="45" customHeight="1">
      <c r="A751" s="37">
        <v>496</v>
      </c>
      <c r="B751" s="38" t="s">
        <v>414</v>
      </c>
      <c r="C751" s="88" t="s">
        <v>242</v>
      </c>
      <c r="D751" s="40" t="s">
        <v>109</v>
      </c>
      <c r="E751" s="41" t="s">
        <v>25</v>
      </c>
      <c r="F751" s="41">
        <v>6</v>
      </c>
      <c r="G751" s="311">
        <v>1257.6</v>
      </c>
      <c r="H751" s="155" t="s">
        <v>19</v>
      </c>
      <c r="I751" s="100"/>
      <c r="L751" s="74"/>
    </row>
    <row r="752" spans="1:12" ht="45" customHeight="1">
      <c r="A752" s="37">
        <v>497</v>
      </c>
      <c r="B752" s="38" t="s">
        <v>403</v>
      </c>
      <c r="C752" s="88" t="s">
        <v>242</v>
      </c>
      <c r="D752" s="40" t="s">
        <v>109</v>
      </c>
      <c r="E752" s="41" t="s">
        <v>25</v>
      </c>
      <c r="F752" s="41">
        <v>1</v>
      </c>
      <c r="G752" s="311">
        <v>162.5</v>
      </c>
      <c r="H752" s="155" t="s">
        <v>19</v>
      </c>
      <c r="I752" s="100"/>
      <c r="L752" s="74"/>
    </row>
    <row r="753" spans="1:12" ht="45" customHeight="1">
      <c r="A753" s="37">
        <v>498</v>
      </c>
      <c r="B753" s="38" t="s">
        <v>415</v>
      </c>
      <c r="C753" s="88" t="s">
        <v>242</v>
      </c>
      <c r="D753" s="40" t="s">
        <v>109</v>
      </c>
      <c r="E753" s="41" t="s">
        <v>25</v>
      </c>
      <c r="F753" s="41">
        <v>1</v>
      </c>
      <c r="G753" s="311">
        <v>183.45</v>
      </c>
      <c r="H753" s="155" t="s">
        <v>19</v>
      </c>
      <c r="I753" s="100"/>
      <c r="L753" s="74"/>
    </row>
    <row r="754" spans="1:12" s="10" customFormat="1" ht="30" customHeight="1">
      <c r="A754" s="296"/>
      <c r="B754" s="260" t="s">
        <v>136</v>
      </c>
      <c r="C754" s="261"/>
      <c r="D754" s="262"/>
      <c r="E754" s="263"/>
      <c r="F754" s="263"/>
      <c r="G754" s="297">
        <f>SUM(G744:G753)</f>
        <v>63323.99999999999</v>
      </c>
      <c r="H754" s="265"/>
      <c r="I754" s="100"/>
      <c r="K754" s="10">
        <f>SUM(K744:K753)</f>
        <v>869.68</v>
      </c>
      <c r="L754" s="267">
        <f>G754-K754</f>
        <v>62454.31999999999</v>
      </c>
    </row>
    <row r="755" spans="1:11" ht="30" customHeight="1">
      <c r="A755" s="37">
        <v>499</v>
      </c>
      <c r="B755" s="38" t="s">
        <v>137</v>
      </c>
      <c r="C755" s="52" t="s">
        <v>138</v>
      </c>
      <c r="D755" s="40" t="s">
        <v>139</v>
      </c>
      <c r="E755" s="41" t="s">
        <v>140</v>
      </c>
      <c r="F755" s="53">
        <f>G755/2878.55</f>
        <v>50.23362456792482</v>
      </c>
      <c r="G755" s="295">
        <v>144600</v>
      </c>
      <c r="H755" s="155" t="s">
        <v>63</v>
      </c>
      <c r="I755" s="100"/>
      <c r="K755" s="12">
        <f>51025</f>
        <v>51025</v>
      </c>
    </row>
    <row r="756" spans="1:9" s="10" customFormat="1" ht="30" customHeight="1">
      <c r="A756" s="296"/>
      <c r="B756" s="260" t="s">
        <v>141</v>
      </c>
      <c r="C756" s="261"/>
      <c r="D756" s="262"/>
      <c r="E756" s="263"/>
      <c r="F756" s="263"/>
      <c r="G756" s="297">
        <f>SUM(G755:G755)</f>
        <v>144600</v>
      </c>
      <c r="H756" s="265"/>
      <c r="I756" s="100"/>
    </row>
    <row r="757" spans="1:13" ht="30" customHeight="1">
      <c r="A757" s="37">
        <v>500</v>
      </c>
      <c r="B757" s="38" t="s">
        <v>142</v>
      </c>
      <c r="C757" s="54" t="s">
        <v>143</v>
      </c>
      <c r="D757" s="40" t="s">
        <v>144</v>
      </c>
      <c r="E757" s="41" t="s">
        <v>145</v>
      </c>
      <c r="F757" s="56">
        <f>G757/4.143</f>
        <v>1563.6012551291335</v>
      </c>
      <c r="G757" s="295">
        <v>6478</v>
      </c>
      <c r="H757" s="155" t="s">
        <v>63</v>
      </c>
      <c r="I757" s="100"/>
      <c r="K757" s="12">
        <f>2485.8+306.36</f>
        <v>2792.1600000000003</v>
      </c>
      <c r="L757" s="240">
        <f>F757-J757</f>
        <v>1563.6012551291335</v>
      </c>
      <c r="M757" s="74">
        <f>G757-K757</f>
        <v>3685.8399999999997</v>
      </c>
    </row>
    <row r="758" spans="1:9" s="10" customFormat="1" ht="30" customHeight="1">
      <c r="A758" s="296"/>
      <c r="B758" s="260" t="s">
        <v>146</v>
      </c>
      <c r="C758" s="261"/>
      <c r="D758" s="262"/>
      <c r="E758" s="263"/>
      <c r="F758" s="263"/>
      <c r="G758" s="297">
        <f>G757</f>
        <v>6478</v>
      </c>
      <c r="H758" s="265"/>
      <c r="I758" s="100"/>
    </row>
    <row r="759" spans="1:9" ht="45" customHeight="1">
      <c r="A759" s="37">
        <v>501</v>
      </c>
      <c r="B759" s="38" t="s">
        <v>405</v>
      </c>
      <c r="C759" s="54" t="s">
        <v>406</v>
      </c>
      <c r="D759" s="40" t="s">
        <v>149</v>
      </c>
      <c r="E759" s="41" t="s">
        <v>25</v>
      </c>
      <c r="F759" s="56">
        <v>1</v>
      </c>
      <c r="G759" s="295">
        <v>88950</v>
      </c>
      <c r="H759" s="40" t="s">
        <v>63</v>
      </c>
      <c r="I759" s="100"/>
    </row>
    <row r="760" spans="1:9" s="10" customFormat="1" ht="30" customHeight="1">
      <c r="A760" s="296"/>
      <c r="B760" s="260" t="s">
        <v>150</v>
      </c>
      <c r="C760" s="261"/>
      <c r="D760" s="262"/>
      <c r="E760" s="262"/>
      <c r="F760" s="262"/>
      <c r="G760" s="297">
        <f>G759</f>
        <v>88950</v>
      </c>
      <c r="H760" s="265"/>
      <c r="I760" s="100"/>
    </row>
    <row r="761" spans="1:9" ht="22.5" customHeight="1">
      <c r="A761" s="19"/>
      <c r="B761" s="208" t="s">
        <v>151</v>
      </c>
      <c r="C761" s="167"/>
      <c r="D761" s="168"/>
      <c r="E761" s="207"/>
      <c r="F761" s="168"/>
      <c r="G761" s="304"/>
      <c r="H761" s="8"/>
      <c r="I761" s="223"/>
    </row>
    <row r="762" spans="1:9" ht="22.5" customHeight="1">
      <c r="A762" s="19"/>
      <c r="B762" s="106" t="s">
        <v>152</v>
      </c>
      <c r="C762" s="107"/>
      <c r="D762" s="108" t="s">
        <v>153</v>
      </c>
      <c r="E762" s="109"/>
      <c r="F762" s="109"/>
      <c r="G762" s="304"/>
      <c r="H762" s="171"/>
      <c r="I762" s="223"/>
    </row>
    <row r="763" spans="1:9" s="8" customFormat="1" ht="22.5" customHeight="1">
      <c r="A763" s="19"/>
      <c r="B763" s="111"/>
      <c r="C763" s="9"/>
      <c r="D763" s="112" t="s">
        <v>154</v>
      </c>
      <c r="E763" s="113" t="s">
        <v>155</v>
      </c>
      <c r="F763" s="114"/>
      <c r="G763" s="304"/>
      <c r="H763" s="171"/>
      <c r="I763" s="223"/>
    </row>
    <row r="764" spans="1:9" s="8" customFormat="1" ht="22.5" customHeight="1">
      <c r="A764" s="19"/>
      <c r="B764" s="115" t="s">
        <v>156</v>
      </c>
      <c r="C764" s="116"/>
      <c r="D764" s="108" t="s">
        <v>157</v>
      </c>
      <c r="E764" s="109"/>
      <c r="F764" s="109"/>
      <c r="G764" s="304"/>
      <c r="H764" s="171"/>
      <c r="I764" s="223"/>
    </row>
    <row r="765" spans="1:9" ht="22.5" customHeight="1">
      <c r="A765" s="19"/>
      <c r="B765" s="111"/>
      <c r="C765" s="9"/>
      <c r="D765" s="112" t="s">
        <v>154</v>
      </c>
      <c r="E765" s="113"/>
      <c r="F765" s="114"/>
      <c r="G765" s="304"/>
      <c r="H765" s="8"/>
      <c r="I765" s="141"/>
    </row>
    <row r="766" spans="1:9" s="8" customFormat="1" ht="22.5" customHeight="1">
      <c r="A766" s="19"/>
      <c r="B766" s="115" t="s">
        <v>158</v>
      </c>
      <c r="C766" s="9"/>
      <c r="D766" s="9"/>
      <c r="E766" s="9"/>
      <c r="F766" s="9"/>
      <c r="G766" s="304"/>
      <c r="H766" s="171"/>
      <c r="I766" s="223"/>
    </row>
    <row r="767" spans="1:9" s="2" customFormat="1" ht="30" customHeight="1">
      <c r="A767" s="169"/>
      <c r="B767" s="229" t="s">
        <v>159</v>
      </c>
      <c r="C767" s="167"/>
      <c r="D767" s="291" t="s">
        <v>160</v>
      </c>
      <c r="E767" s="229"/>
      <c r="F767" s="170"/>
      <c r="G767" s="307"/>
      <c r="H767" s="171"/>
      <c r="I767" s="326"/>
    </row>
    <row r="768" spans="1:9" ht="22.5" customHeight="1">
      <c r="A768" s="19"/>
      <c r="B768" s="230" t="s">
        <v>161</v>
      </c>
      <c r="C768" s="167"/>
      <c r="D768" s="168"/>
      <c r="E768" s="207"/>
      <c r="F768" s="168"/>
      <c r="G768" s="304"/>
      <c r="H768" s="8"/>
      <c r="I768" s="223"/>
    </row>
    <row r="769" spans="1:9" ht="67.5" customHeight="1">
      <c r="A769" s="19"/>
      <c r="B769" s="8" t="s">
        <v>0</v>
      </c>
      <c r="C769" s="20"/>
      <c r="D769" s="21"/>
      <c r="E769" s="22"/>
      <c r="F769" s="23" t="s">
        <v>1</v>
      </c>
      <c r="G769" s="23"/>
      <c r="H769" s="21"/>
      <c r="I769" s="70"/>
    </row>
    <row r="770" spans="1:9" ht="45" customHeight="1">
      <c r="A770" s="317" t="s">
        <v>381</v>
      </c>
      <c r="B770" s="317"/>
      <c r="C770" s="317"/>
      <c r="D770" s="317"/>
      <c r="E770" s="317"/>
      <c r="F770" s="317"/>
      <c r="G770" s="317"/>
      <c r="H770" s="317"/>
      <c r="I770" s="317"/>
    </row>
    <row r="771" spans="1:9" s="7" customFormat="1" ht="29.25" customHeight="1" hidden="1">
      <c r="A771" s="35" t="s">
        <v>677</v>
      </c>
      <c r="B771" s="173"/>
      <c r="C771" s="173"/>
      <c r="D771" s="173"/>
      <c r="E771" s="173"/>
      <c r="F771" s="173"/>
      <c r="G771" s="173"/>
      <c r="H771" s="173"/>
      <c r="I771" s="173"/>
    </row>
    <row r="772" spans="3:9" ht="15" customHeight="1">
      <c r="C772" s="124"/>
      <c r="D772" s="125" t="s">
        <v>4</v>
      </c>
      <c r="E772" s="124"/>
      <c r="F772" s="124"/>
      <c r="G772" s="3"/>
      <c r="H772" s="16"/>
      <c r="I772" s="16"/>
    </row>
    <row r="773" ht="15" customHeight="1"/>
    <row r="774" spans="1:11" ht="15.75" customHeight="1">
      <c r="A774" s="26" t="s">
        <v>5</v>
      </c>
      <c r="B774" s="27" t="s">
        <v>6</v>
      </c>
      <c r="C774" s="28" t="s">
        <v>7</v>
      </c>
      <c r="D774" s="28" t="s">
        <v>249</v>
      </c>
      <c r="E774" s="28" t="s">
        <v>9</v>
      </c>
      <c r="F774" s="28" t="s">
        <v>10</v>
      </c>
      <c r="G774" s="28" t="s">
        <v>250</v>
      </c>
      <c r="H774" s="28" t="s">
        <v>251</v>
      </c>
      <c r="I774" s="28" t="s">
        <v>13</v>
      </c>
      <c r="J774" s="71"/>
      <c r="K774" s="71"/>
    </row>
    <row r="775" spans="1:9" ht="31.5" customHeight="1">
      <c r="A775" s="29"/>
      <c r="B775" s="30"/>
      <c r="C775" s="31"/>
      <c r="D775" s="31"/>
      <c r="E775" s="31"/>
      <c r="F775" s="31"/>
      <c r="G775" s="31"/>
      <c r="H775" s="31"/>
      <c r="I775" s="31"/>
    </row>
    <row r="776" spans="1:9" ht="37.5" customHeight="1">
      <c r="A776" s="32"/>
      <c r="B776" s="33"/>
      <c r="C776" s="34"/>
      <c r="D776" s="34"/>
      <c r="E776" s="34"/>
      <c r="F776" s="34"/>
      <c r="G776" s="34"/>
      <c r="H776" s="34"/>
      <c r="I776" s="34"/>
    </row>
    <row r="777" spans="1:9" ht="20.25" customHeight="1">
      <c r="A777" s="32">
        <v>1</v>
      </c>
      <c r="B777" s="33">
        <v>2</v>
      </c>
      <c r="C777" s="34">
        <v>3</v>
      </c>
      <c r="D777" s="34">
        <v>4</v>
      </c>
      <c r="E777" s="34">
        <v>5</v>
      </c>
      <c r="F777" s="34">
        <v>6</v>
      </c>
      <c r="G777" s="34">
        <v>7</v>
      </c>
      <c r="H777" s="34">
        <v>8</v>
      </c>
      <c r="I777" s="72">
        <v>9</v>
      </c>
    </row>
    <row r="778" spans="1:12" ht="30" customHeight="1">
      <c r="A778" s="37">
        <v>502</v>
      </c>
      <c r="B778" s="38" t="s">
        <v>382</v>
      </c>
      <c r="C778" s="39" t="s">
        <v>24</v>
      </c>
      <c r="D778" s="40" t="s">
        <v>17</v>
      </c>
      <c r="E778" s="41" t="s">
        <v>25</v>
      </c>
      <c r="F778" s="41">
        <v>10</v>
      </c>
      <c r="G778" s="295">
        <v>143.3</v>
      </c>
      <c r="H778" s="155" t="s">
        <v>19</v>
      </c>
      <c r="I778" s="73" t="s">
        <v>253</v>
      </c>
      <c r="L778" s="74"/>
    </row>
    <row r="779" spans="1:12" ht="30" customHeight="1">
      <c r="A779" s="37">
        <v>503</v>
      </c>
      <c r="B779" s="38" t="s">
        <v>23</v>
      </c>
      <c r="C779" s="43" t="s">
        <v>24</v>
      </c>
      <c r="D779" s="40" t="s">
        <v>17</v>
      </c>
      <c r="E779" s="41" t="s">
        <v>25</v>
      </c>
      <c r="F779" s="41">
        <v>3</v>
      </c>
      <c r="G779" s="295">
        <v>523.26</v>
      </c>
      <c r="H779" s="155" t="s">
        <v>19</v>
      </c>
      <c r="I779" s="100"/>
      <c r="L779" s="74"/>
    </row>
    <row r="780" spans="1:12" ht="30" customHeight="1">
      <c r="A780" s="37">
        <v>504</v>
      </c>
      <c r="B780" s="38" t="s">
        <v>15</v>
      </c>
      <c r="C780" s="43" t="s">
        <v>16</v>
      </c>
      <c r="D780" s="40" t="s">
        <v>17</v>
      </c>
      <c r="E780" s="41" t="s">
        <v>18</v>
      </c>
      <c r="F780" s="41">
        <v>10</v>
      </c>
      <c r="G780" s="295">
        <v>2100</v>
      </c>
      <c r="H780" s="155" t="s">
        <v>19</v>
      </c>
      <c r="I780" s="100"/>
      <c r="L780" s="74"/>
    </row>
    <row r="781" spans="1:12" ht="30" customHeight="1">
      <c r="A781" s="37">
        <v>505</v>
      </c>
      <c r="B781" s="98" t="s">
        <v>202</v>
      </c>
      <c r="C781" s="99" t="s">
        <v>27</v>
      </c>
      <c r="D781" s="40" t="s">
        <v>17</v>
      </c>
      <c r="E781" s="41" t="s">
        <v>25</v>
      </c>
      <c r="F781" s="41">
        <v>10</v>
      </c>
      <c r="G781" s="295">
        <v>593.5</v>
      </c>
      <c r="H781" s="155" t="s">
        <v>19</v>
      </c>
      <c r="I781" s="100"/>
      <c r="L781" s="74"/>
    </row>
    <row r="782" spans="1:12" ht="45" customHeight="1">
      <c r="A782" s="37">
        <v>506</v>
      </c>
      <c r="B782" s="38" t="s">
        <v>255</v>
      </c>
      <c r="C782" s="40" t="s">
        <v>27</v>
      </c>
      <c r="D782" s="40" t="s">
        <v>17</v>
      </c>
      <c r="E782" s="41" t="s">
        <v>22</v>
      </c>
      <c r="F782" s="41">
        <v>2</v>
      </c>
      <c r="G782" s="295">
        <v>352.74</v>
      </c>
      <c r="H782" s="155" t="s">
        <v>19</v>
      </c>
      <c r="I782" s="100"/>
      <c r="L782" s="74"/>
    </row>
    <row r="783" spans="1:12" ht="44.25" customHeight="1">
      <c r="A783" s="37">
        <v>507</v>
      </c>
      <c r="B783" s="38" t="s">
        <v>383</v>
      </c>
      <c r="C783" s="241" t="s">
        <v>346</v>
      </c>
      <c r="D783" s="40" t="s">
        <v>17</v>
      </c>
      <c r="E783" s="41" t="s">
        <v>25</v>
      </c>
      <c r="F783" s="41">
        <v>1</v>
      </c>
      <c r="G783" s="295">
        <v>990</v>
      </c>
      <c r="H783" s="155" t="s">
        <v>19</v>
      </c>
      <c r="I783" s="100"/>
      <c r="L783" s="74"/>
    </row>
    <row r="784" spans="1:12" ht="30.75" customHeight="1">
      <c r="A784" s="37">
        <v>508</v>
      </c>
      <c r="B784" s="38" t="s">
        <v>257</v>
      </c>
      <c r="C784" s="43" t="s">
        <v>33</v>
      </c>
      <c r="D784" s="40" t="s">
        <v>17</v>
      </c>
      <c r="E784" s="41" t="s">
        <v>193</v>
      </c>
      <c r="F784" s="41">
        <v>40</v>
      </c>
      <c r="G784" s="295">
        <v>4800</v>
      </c>
      <c r="H784" s="155" t="s">
        <v>19</v>
      </c>
      <c r="I784" s="100"/>
      <c r="L784" s="74"/>
    </row>
    <row r="785" spans="1:12" ht="30" customHeight="1">
      <c r="A785" s="37">
        <v>509</v>
      </c>
      <c r="B785" s="38" t="s">
        <v>368</v>
      </c>
      <c r="C785" s="40" t="s">
        <v>42</v>
      </c>
      <c r="D785" s="40" t="s">
        <v>17</v>
      </c>
      <c r="E785" s="41" t="s">
        <v>25</v>
      </c>
      <c r="F785" s="41">
        <v>5</v>
      </c>
      <c r="G785" s="295">
        <v>760</v>
      </c>
      <c r="H785" s="155" t="s">
        <v>19</v>
      </c>
      <c r="I785" s="100"/>
      <c r="J785" s="12">
        <v>1</v>
      </c>
      <c r="K785" s="12">
        <v>204</v>
      </c>
      <c r="L785" s="74" t="e">
        <f>#REF!-K785</f>
        <v>#REF!</v>
      </c>
    </row>
    <row r="786" spans="1:12" ht="30.75" customHeight="1">
      <c r="A786" s="37">
        <v>510</v>
      </c>
      <c r="B786" s="98" t="s">
        <v>384</v>
      </c>
      <c r="C786" s="40" t="s">
        <v>179</v>
      </c>
      <c r="D786" s="40" t="s">
        <v>17</v>
      </c>
      <c r="E786" s="41" t="s">
        <v>25</v>
      </c>
      <c r="F786" s="41">
        <v>2</v>
      </c>
      <c r="G786" s="295">
        <v>444.1</v>
      </c>
      <c r="H786" s="155" t="s">
        <v>19</v>
      </c>
      <c r="I786" s="100"/>
      <c r="L786" s="74"/>
    </row>
    <row r="787" spans="1:12" ht="30.75" customHeight="1">
      <c r="A787" s="37">
        <v>511</v>
      </c>
      <c r="B787" s="38" t="s">
        <v>385</v>
      </c>
      <c r="C787" s="241" t="s">
        <v>44</v>
      </c>
      <c r="D787" s="40" t="s">
        <v>17</v>
      </c>
      <c r="E787" s="41" t="s">
        <v>25</v>
      </c>
      <c r="F787" s="41">
        <v>2</v>
      </c>
      <c r="G787" s="295">
        <v>1627.22</v>
      </c>
      <c r="H787" s="155" t="s">
        <v>19</v>
      </c>
      <c r="I787" s="100"/>
      <c r="L787" s="74"/>
    </row>
    <row r="788" spans="1:12" ht="30.75" customHeight="1">
      <c r="A788" s="37">
        <v>512</v>
      </c>
      <c r="B788" s="38" t="s">
        <v>386</v>
      </c>
      <c r="C788" s="43" t="s">
        <v>387</v>
      </c>
      <c r="D788" s="40" t="s">
        <v>17</v>
      </c>
      <c r="E788" s="41" t="s">
        <v>25</v>
      </c>
      <c r="F788" s="41">
        <v>30</v>
      </c>
      <c r="G788" s="295">
        <v>680.1</v>
      </c>
      <c r="H788" s="155" t="s">
        <v>19</v>
      </c>
      <c r="I788" s="100"/>
      <c r="L788" s="74"/>
    </row>
    <row r="789" spans="1:12" ht="30.75" customHeight="1">
      <c r="A789" s="37">
        <v>513</v>
      </c>
      <c r="B789" s="38" t="s">
        <v>388</v>
      </c>
      <c r="C789" s="43" t="s">
        <v>389</v>
      </c>
      <c r="D789" s="40" t="s">
        <v>17</v>
      </c>
      <c r="E789" s="41" t="s">
        <v>25</v>
      </c>
      <c r="F789" s="41">
        <v>10</v>
      </c>
      <c r="G789" s="295">
        <v>366.5</v>
      </c>
      <c r="H789" s="155" t="s">
        <v>19</v>
      </c>
      <c r="I789" s="100"/>
      <c r="L789" s="74"/>
    </row>
    <row r="790" spans="1:12" ht="45" customHeight="1">
      <c r="A790" s="37">
        <v>514</v>
      </c>
      <c r="B790" s="98" t="s">
        <v>390</v>
      </c>
      <c r="C790" s="40" t="s">
        <v>391</v>
      </c>
      <c r="D790" s="40" t="s">
        <v>17</v>
      </c>
      <c r="E790" s="41" t="s">
        <v>25</v>
      </c>
      <c r="F790" s="41">
        <v>2</v>
      </c>
      <c r="G790" s="295">
        <v>256.38</v>
      </c>
      <c r="H790" s="155" t="s">
        <v>19</v>
      </c>
      <c r="I790" s="100"/>
      <c r="L790" s="74"/>
    </row>
    <row r="791" spans="1:12" ht="30.75" customHeight="1">
      <c r="A791" s="37">
        <v>515</v>
      </c>
      <c r="B791" s="38" t="s">
        <v>392</v>
      </c>
      <c r="C791" s="241" t="s">
        <v>42</v>
      </c>
      <c r="D791" s="40" t="s">
        <v>17</v>
      </c>
      <c r="E791" s="41" t="s">
        <v>25</v>
      </c>
      <c r="F791" s="41">
        <v>1</v>
      </c>
      <c r="G791" s="295">
        <v>202.06</v>
      </c>
      <c r="H791" s="155" t="s">
        <v>19</v>
      </c>
      <c r="I791" s="100"/>
      <c r="L791" s="74"/>
    </row>
    <row r="792" spans="1:12" ht="30" customHeight="1">
      <c r="A792" s="37">
        <v>516</v>
      </c>
      <c r="B792" s="38" t="s">
        <v>393</v>
      </c>
      <c r="C792" s="43" t="s">
        <v>24</v>
      </c>
      <c r="D792" s="40" t="s">
        <v>17</v>
      </c>
      <c r="E792" s="41" t="s">
        <v>25</v>
      </c>
      <c r="F792" s="41">
        <v>4</v>
      </c>
      <c r="G792" s="295">
        <v>582.36</v>
      </c>
      <c r="H792" s="155" t="s">
        <v>19</v>
      </c>
      <c r="I792" s="100"/>
      <c r="L792" s="74"/>
    </row>
    <row r="793" spans="1:12" ht="30.75" customHeight="1">
      <c r="A793" s="37">
        <v>517</v>
      </c>
      <c r="B793" s="38" t="s">
        <v>394</v>
      </c>
      <c r="C793" s="43" t="s">
        <v>40</v>
      </c>
      <c r="D793" s="40" t="s">
        <v>17</v>
      </c>
      <c r="E793" s="41" t="s">
        <v>25</v>
      </c>
      <c r="F793" s="41">
        <v>1</v>
      </c>
      <c r="G793" s="295">
        <v>83.06</v>
      </c>
      <c r="H793" s="155" t="s">
        <v>19</v>
      </c>
      <c r="I793" s="100"/>
      <c r="L793" s="74"/>
    </row>
    <row r="794" spans="1:12" ht="30.75" customHeight="1">
      <c r="A794" s="37">
        <v>518</v>
      </c>
      <c r="B794" s="38" t="s">
        <v>395</v>
      </c>
      <c r="C794" s="43" t="s">
        <v>387</v>
      </c>
      <c r="D794" s="40" t="s">
        <v>17</v>
      </c>
      <c r="E794" s="41" t="s">
        <v>25</v>
      </c>
      <c r="F794" s="41">
        <v>50</v>
      </c>
      <c r="G794" s="295">
        <v>1956.5</v>
      </c>
      <c r="H794" s="155" t="s">
        <v>19</v>
      </c>
      <c r="I794" s="100"/>
      <c r="L794" s="74"/>
    </row>
    <row r="795" spans="1:12" ht="30.75" customHeight="1">
      <c r="A795" s="37">
        <v>519</v>
      </c>
      <c r="B795" s="98" t="s">
        <v>396</v>
      </c>
      <c r="C795" s="40" t="s">
        <v>179</v>
      </c>
      <c r="D795" s="40" t="s">
        <v>17</v>
      </c>
      <c r="E795" s="41" t="s">
        <v>25</v>
      </c>
      <c r="F795" s="41">
        <v>10</v>
      </c>
      <c r="G795" s="295">
        <v>525</v>
      </c>
      <c r="H795" s="155" t="s">
        <v>19</v>
      </c>
      <c r="I795" s="100"/>
      <c r="L795" s="74"/>
    </row>
    <row r="796" spans="1:12" ht="45" customHeight="1">
      <c r="A796" s="37">
        <v>520</v>
      </c>
      <c r="B796" s="98" t="s">
        <v>397</v>
      </c>
      <c r="C796" s="40" t="s">
        <v>52</v>
      </c>
      <c r="D796" s="40" t="s">
        <v>17</v>
      </c>
      <c r="E796" s="41" t="s">
        <v>25</v>
      </c>
      <c r="F796" s="41">
        <v>6</v>
      </c>
      <c r="G796" s="295">
        <v>544.08</v>
      </c>
      <c r="H796" s="155" t="s">
        <v>19</v>
      </c>
      <c r="I796" s="100"/>
      <c r="L796" s="74"/>
    </row>
    <row r="797" spans="1:12" ht="30.75" customHeight="1">
      <c r="A797" s="37">
        <v>521</v>
      </c>
      <c r="B797" s="38" t="s">
        <v>398</v>
      </c>
      <c r="C797" s="241" t="s">
        <v>399</v>
      </c>
      <c r="D797" s="40" t="s">
        <v>17</v>
      </c>
      <c r="E797" s="41" t="s">
        <v>25</v>
      </c>
      <c r="F797" s="41">
        <v>2</v>
      </c>
      <c r="G797" s="295">
        <v>259.64</v>
      </c>
      <c r="H797" s="155" t="s">
        <v>19</v>
      </c>
      <c r="I797" s="100"/>
      <c r="L797" s="74"/>
    </row>
    <row r="798" spans="1:12" ht="30.75" customHeight="1">
      <c r="A798" s="37">
        <v>522</v>
      </c>
      <c r="B798" s="38" t="s">
        <v>400</v>
      </c>
      <c r="C798" s="40" t="s">
        <v>294</v>
      </c>
      <c r="D798" s="40" t="s">
        <v>17</v>
      </c>
      <c r="E798" s="41" t="s">
        <v>25</v>
      </c>
      <c r="F798" s="41">
        <v>6</v>
      </c>
      <c r="G798" s="295">
        <v>7200</v>
      </c>
      <c r="H798" s="155" t="s">
        <v>19</v>
      </c>
      <c r="I798" s="100"/>
      <c r="L798" s="74"/>
    </row>
    <row r="799" spans="1:12" ht="30" customHeight="1">
      <c r="A799" s="37">
        <v>523</v>
      </c>
      <c r="B799" s="38" t="s">
        <v>57</v>
      </c>
      <c r="C799" s="40" t="s">
        <v>58</v>
      </c>
      <c r="D799" s="40" t="s">
        <v>17</v>
      </c>
      <c r="E799" s="41" t="s">
        <v>25</v>
      </c>
      <c r="F799" s="41">
        <v>1</v>
      </c>
      <c r="G799" s="295">
        <v>2500.2</v>
      </c>
      <c r="H799" s="155" t="s">
        <v>19</v>
      </c>
      <c r="I799" s="100"/>
      <c r="L799" s="74"/>
    </row>
    <row r="800" spans="1:12" s="10" customFormat="1" ht="30.75" customHeight="1">
      <c r="A800" s="296"/>
      <c r="B800" s="308" t="s">
        <v>59</v>
      </c>
      <c r="C800" s="261"/>
      <c r="D800" s="262"/>
      <c r="E800" s="263"/>
      <c r="F800" s="263"/>
      <c r="G800" s="297">
        <f>SUM(G778:G799)</f>
        <v>27490</v>
      </c>
      <c r="H800" s="265"/>
      <c r="I800" s="100"/>
      <c r="L800" s="267">
        <f>G800-K800</f>
        <v>27490</v>
      </c>
    </row>
    <row r="801" spans="1:12" ht="30" customHeight="1">
      <c r="A801" s="37">
        <v>524</v>
      </c>
      <c r="B801" s="38" t="s">
        <v>64</v>
      </c>
      <c r="C801" s="40" t="s">
        <v>65</v>
      </c>
      <c r="D801" s="40" t="s">
        <v>62</v>
      </c>
      <c r="E801" s="41" t="s">
        <v>34</v>
      </c>
      <c r="F801" s="69">
        <f>9+44</f>
        <v>53</v>
      </c>
      <c r="G801" s="295">
        <v>896.7</v>
      </c>
      <c r="H801" s="155" t="s">
        <v>63</v>
      </c>
      <c r="I801" s="100"/>
      <c r="L801" s="74"/>
    </row>
    <row r="802" spans="1:12" ht="30" customHeight="1">
      <c r="A802" s="37">
        <v>525</v>
      </c>
      <c r="B802" s="38" t="s">
        <v>71</v>
      </c>
      <c r="C802" s="40" t="s">
        <v>72</v>
      </c>
      <c r="D802" s="40" t="s">
        <v>62</v>
      </c>
      <c r="E802" s="41" t="s">
        <v>34</v>
      </c>
      <c r="F802" s="69">
        <v>3</v>
      </c>
      <c r="G802" s="295">
        <v>45.9</v>
      </c>
      <c r="H802" s="155" t="s">
        <v>63</v>
      </c>
      <c r="I802" s="100"/>
      <c r="L802" s="74"/>
    </row>
    <row r="803" spans="1:12" ht="30" customHeight="1">
      <c r="A803" s="37">
        <v>526</v>
      </c>
      <c r="B803" s="38" t="s">
        <v>75</v>
      </c>
      <c r="C803" s="71" t="s">
        <v>76</v>
      </c>
      <c r="D803" s="40" t="s">
        <v>62</v>
      </c>
      <c r="E803" s="41" t="s">
        <v>77</v>
      </c>
      <c r="F803" s="69">
        <v>5</v>
      </c>
      <c r="G803" s="295">
        <v>381</v>
      </c>
      <c r="H803" s="155" t="s">
        <v>63</v>
      </c>
      <c r="I803" s="100"/>
      <c r="L803" s="74"/>
    </row>
    <row r="804" spans="1:12" ht="30" customHeight="1">
      <c r="A804" s="37">
        <v>527</v>
      </c>
      <c r="B804" s="38" t="s">
        <v>78</v>
      </c>
      <c r="C804" s="40" t="s">
        <v>79</v>
      </c>
      <c r="D804" s="40" t="s">
        <v>62</v>
      </c>
      <c r="E804" s="41" t="s">
        <v>34</v>
      </c>
      <c r="F804" s="69">
        <v>2.2</v>
      </c>
      <c r="G804" s="295">
        <v>677.26</v>
      </c>
      <c r="H804" s="155" t="s">
        <v>63</v>
      </c>
      <c r="I804" s="100"/>
      <c r="L804" s="74"/>
    </row>
    <row r="805" spans="1:12" ht="45" customHeight="1">
      <c r="A805" s="37">
        <v>528</v>
      </c>
      <c r="B805" s="38" t="s">
        <v>84</v>
      </c>
      <c r="C805" s="40" t="s">
        <v>85</v>
      </c>
      <c r="D805" s="40" t="s">
        <v>62</v>
      </c>
      <c r="E805" s="41" t="s">
        <v>34</v>
      </c>
      <c r="F805" s="69">
        <f>0.65+3.9</f>
        <v>4.55</v>
      </c>
      <c r="G805" s="295">
        <v>536.84</v>
      </c>
      <c r="H805" s="155" t="s">
        <v>63</v>
      </c>
      <c r="I805" s="100"/>
      <c r="L805" s="74"/>
    </row>
    <row r="806" spans="1:12" ht="30" customHeight="1">
      <c r="A806" s="37">
        <v>529</v>
      </c>
      <c r="B806" s="38" t="s">
        <v>665</v>
      </c>
      <c r="C806" s="40" t="s">
        <v>666</v>
      </c>
      <c r="D806" s="40" t="s">
        <v>62</v>
      </c>
      <c r="E806" s="41" t="s">
        <v>34</v>
      </c>
      <c r="F806" s="69">
        <v>13</v>
      </c>
      <c r="G806" s="295">
        <v>1620.84</v>
      </c>
      <c r="H806" s="155" t="s">
        <v>63</v>
      </c>
      <c r="I806" s="100"/>
      <c r="L806" s="74"/>
    </row>
    <row r="807" spans="1:12" ht="30" customHeight="1">
      <c r="A807" s="37">
        <v>530</v>
      </c>
      <c r="B807" s="38" t="s">
        <v>88</v>
      </c>
      <c r="C807" s="40" t="s">
        <v>85</v>
      </c>
      <c r="D807" s="40" t="s">
        <v>62</v>
      </c>
      <c r="E807" s="41" t="s">
        <v>34</v>
      </c>
      <c r="F807" s="69">
        <v>5</v>
      </c>
      <c r="G807" s="295">
        <v>621.7</v>
      </c>
      <c r="H807" s="155" t="s">
        <v>63</v>
      </c>
      <c r="I807" s="100"/>
      <c r="L807" s="74"/>
    </row>
    <row r="808" spans="1:12" ht="30" customHeight="1">
      <c r="A808" s="37">
        <v>531</v>
      </c>
      <c r="B808" s="38" t="s">
        <v>89</v>
      </c>
      <c r="C808" s="40" t="s">
        <v>90</v>
      </c>
      <c r="D808" s="40" t="s">
        <v>62</v>
      </c>
      <c r="E808" s="41" t="s">
        <v>34</v>
      </c>
      <c r="F808" s="69">
        <v>4</v>
      </c>
      <c r="G808" s="295">
        <v>198.2</v>
      </c>
      <c r="H808" s="155" t="s">
        <v>63</v>
      </c>
      <c r="I808" s="100"/>
      <c r="L808" s="74"/>
    </row>
    <row r="809" spans="1:12" ht="30" customHeight="1">
      <c r="A809" s="37">
        <v>532</v>
      </c>
      <c r="B809" s="38" t="s">
        <v>91</v>
      </c>
      <c r="C809" s="40" t="s">
        <v>92</v>
      </c>
      <c r="D809" s="40" t="s">
        <v>62</v>
      </c>
      <c r="E809" s="41" t="s">
        <v>34</v>
      </c>
      <c r="F809" s="69">
        <v>11</v>
      </c>
      <c r="G809" s="295">
        <v>1755.45</v>
      </c>
      <c r="H809" s="155" t="s">
        <v>63</v>
      </c>
      <c r="I809" s="100"/>
      <c r="L809" s="74"/>
    </row>
    <row r="810" spans="1:12" ht="30" customHeight="1">
      <c r="A810" s="37">
        <v>533</v>
      </c>
      <c r="B810" s="38" t="s">
        <v>93</v>
      </c>
      <c r="C810" s="40" t="s">
        <v>94</v>
      </c>
      <c r="D810" s="40" t="s">
        <v>62</v>
      </c>
      <c r="E810" s="41" t="s">
        <v>34</v>
      </c>
      <c r="F810" s="69">
        <f>0.38+1.9</f>
        <v>2.28</v>
      </c>
      <c r="G810" s="295">
        <v>295.98</v>
      </c>
      <c r="H810" s="155" t="s">
        <v>63</v>
      </c>
      <c r="I810" s="100"/>
      <c r="L810" s="74"/>
    </row>
    <row r="811" spans="1:12" ht="30" customHeight="1">
      <c r="A811" s="37">
        <v>534</v>
      </c>
      <c r="B811" s="38" t="s">
        <v>224</v>
      </c>
      <c r="C811" s="40" t="s">
        <v>225</v>
      </c>
      <c r="D811" s="40" t="s">
        <v>62</v>
      </c>
      <c r="E811" s="41" t="s">
        <v>34</v>
      </c>
      <c r="F811" s="69">
        <v>1</v>
      </c>
      <c r="G811" s="295">
        <v>12.7</v>
      </c>
      <c r="H811" s="155" t="s">
        <v>63</v>
      </c>
      <c r="I811" s="100"/>
      <c r="L811" s="74"/>
    </row>
    <row r="812" spans="1:12" ht="30" customHeight="1">
      <c r="A812" s="37">
        <v>535</v>
      </c>
      <c r="B812" s="40" t="s">
        <v>95</v>
      </c>
      <c r="C812" s="40" t="s">
        <v>96</v>
      </c>
      <c r="D812" s="40" t="s">
        <v>62</v>
      </c>
      <c r="E812" s="41" t="s">
        <v>34</v>
      </c>
      <c r="F812" s="69">
        <v>11</v>
      </c>
      <c r="G812" s="295">
        <v>2283.31</v>
      </c>
      <c r="H812" s="155" t="s">
        <v>63</v>
      </c>
      <c r="I812" s="100"/>
      <c r="L812" s="74"/>
    </row>
    <row r="813" spans="1:12" ht="30" customHeight="1">
      <c r="A813" s="37">
        <v>536</v>
      </c>
      <c r="B813" s="40" t="s">
        <v>667</v>
      </c>
      <c r="C813" s="40" t="s">
        <v>668</v>
      </c>
      <c r="D813" s="40" t="s">
        <v>62</v>
      </c>
      <c r="E813" s="41" t="s">
        <v>34</v>
      </c>
      <c r="F813" s="69">
        <v>15</v>
      </c>
      <c r="G813" s="295">
        <v>3379.5</v>
      </c>
      <c r="H813" s="155" t="s">
        <v>63</v>
      </c>
      <c r="I813" s="100"/>
      <c r="L813" s="74"/>
    </row>
    <row r="814" spans="1:12" ht="45" customHeight="1">
      <c r="A814" s="37">
        <v>537</v>
      </c>
      <c r="B814" s="54" t="s">
        <v>98</v>
      </c>
      <c r="C814" s="40" t="s">
        <v>61</v>
      </c>
      <c r="D814" s="40" t="s">
        <v>62</v>
      </c>
      <c r="E814" s="41" t="s">
        <v>25</v>
      </c>
      <c r="F814" s="69">
        <v>41</v>
      </c>
      <c r="G814" s="295">
        <v>617.25</v>
      </c>
      <c r="H814" s="155" t="s">
        <v>63</v>
      </c>
      <c r="I814" s="100"/>
      <c r="L814" s="74"/>
    </row>
    <row r="815" spans="1:12" ht="30" customHeight="1">
      <c r="A815" s="37">
        <v>538</v>
      </c>
      <c r="B815" s="40" t="s">
        <v>99</v>
      </c>
      <c r="C815" s="40" t="s">
        <v>100</v>
      </c>
      <c r="D815" s="40" t="s">
        <v>62</v>
      </c>
      <c r="E815" s="41" t="s">
        <v>34</v>
      </c>
      <c r="F815" s="69">
        <v>6</v>
      </c>
      <c r="G815" s="295">
        <v>1710.52</v>
      </c>
      <c r="H815" s="155" t="s">
        <v>63</v>
      </c>
      <c r="I815" s="100"/>
      <c r="L815" s="74"/>
    </row>
    <row r="816" spans="1:12" ht="30" customHeight="1">
      <c r="A816" s="37">
        <v>539</v>
      </c>
      <c r="B816" s="40" t="s">
        <v>228</v>
      </c>
      <c r="C816" s="40" t="s">
        <v>229</v>
      </c>
      <c r="D816" s="40" t="s">
        <v>62</v>
      </c>
      <c r="E816" s="41" t="s">
        <v>34</v>
      </c>
      <c r="F816" s="69">
        <v>10</v>
      </c>
      <c r="G816" s="295">
        <v>401.45</v>
      </c>
      <c r="H816" s="155" t="s">
        <v>63</v>
      </c>
      <c r="I816" s="100"/>
      <c r="L816" s="74"/>
    </row>
    <row r="817" spans="1:12" ht="30" customHeight="1">
      <c r="A817" s="37">
        <v>540</v>
      </c>
      <c r="B817" s="40" t="s">
        <v>103</v>
      </c>
      <c r="C817" s="40" t="s">
        <v>104</v>
      </c>
      <c r="D817" s="40" t="s">
        <v>62</v>
      </c>
      <c r="E817" s="41" t="s">
        <v>25</v>
      </c>
      <c r="F817" s="69">
        <v>145</v>
      </c>
      <c r="G817" s="295">
        <v>672.8</v>
      </c>
      <c r="H817" s="155" t="s">
        <v>63</v>
      </c>
      <c r="I817" s="100"/>
      <c r="L817" s="74"/>
    </row>
    <row r="818" spans="1:12" ht="30" customHeight="1">
      <c r="A818" s="37">
        <v>541</v>
      </c>
      <c r="B818" s="38" t="s">
        <v>105</v>
      </c>
      <c r="C818" s="40" t="s">
        <v>70</v>
      </c>
      <c r="D818" s="40" t="s">
        <v>62</v>
      </c>
      <c r="E818" s="41" t="s">
        <v>34</v>
      </c>
      <c r="F818" s="69">
        <v>4</v>
      </c>
      <c r="G818" s="295">
        <v>132.6</v>
      </c>
      <c r="H818" s="155" t="s">
        <v>63</v>
      </c>
      <c r="I818" s="100"/>
      <c r="L818" s="74"/>
    </row>
    <row r="819" spans="1:12" s="10" customFormat="1" ht="30" customHeight="1">
      <c r="A819" s="296"/>
      <c r="B819" s="308" t="s">
        <v>106</v>
      </c>
      <c r="C819" s="328"/>
      <c r="D819" s="260"/>
      <c r="E819" s="263"/>
      <c r="F819" s="263"/>
      <c r="G819" s="297">
        <f>SUM(G801:G818)</f>
        <v>16240</v>
      </c>
      <c r="H819" s="265"/>
      <c r="I819" s="100"/>
      <c r="L819" s="267"/>
    </row>
    <row r="820" spans="1:12" ht="45" customHeight="1">
      <c r="A820" s="37">
        <v>542</v>
      </c>
      <c r="B820" s="38" t="s">
        <v>236</v>
      </c>
      <c r="C820" s="40" t="s">
        <v>119</v>
      </c>
      <c r="D820" s="40" t="s">
        <v>109</v>
      </c>
      <c r="E820" s="41" t="s">
        <v>120</v>
      </c>
      <c r="F820" s="41" t="s">
        <v>121</v>
      </c>
      <c r="G820" s="311">
        <v>2626.76</v>
      </c>
      <c r="H820" s="155" t="s">
        <v>63</v>
      </c>
      <c r="I820" s="100"/>
      <c r="K820" s="12">
        <v>861.81</v>
      </c>
      <c r="L820" s="74">
        <f aca="true" t="shared" si="11" ref="L820:L825">G820-K820</f>
        <v>1764.9500000000003</v>
      </c>
    </row>
    <row r="821" spans="1:12" ht="30" customHeight="1">
      <c r="A821" s="37">
        <v>543</v>
      </c>
      <c r="B821" s="38" t="s">
        <v>401</v>
      </c>
      <c r="C821" s="40" t="s">
        <v>239</v>
      </c>
      <c r="D821" s="40" t="s">
        <v>109</v>
      </c>
      <c r="E821" s="41" t="s">
        <v>285</v>
      </c>
      <c r="F821" s="41">
        <v>150</v>
      </c>
      <c r="G821" s="311">
        <v>444</v>
      </c>
      <c r="H821" s="155" t="s">
        <v>63</v>
      </c>
      <c r="I821" s="100"/>
      <c r="L821" s="74">
        <f t="shared" si="11"/>
        <v>444</v>
      </c>
    </row>
    <row r="822" spans="1:12" ht="30" customHeight="1">
      <c r="A822" s="37">
        <v>544</v>
      </c>
      <c r="B822" s="38" t="s">
        <v>284</v>
      </c>
      <c r="C822" s="40" t="s">
        <v>239</v>
      </c>
      <c r="D822" s="40" t="s">
        <v>109</v>
      </c>
      <c r="E822" s="41" t="s">
        <v>285</v>
      </c>
      <c r="F822" s="41">
        <v>1006.72</v>
      </c>
      <c r="G822" s="311">
        <v>2597.34</v>
      </c>
      <c r="H822" s="155" t="s">
        <v>63</v>
      </c>
      <c r="I822" s="100"/>
      <c r="L822" s="74">
        <f t="shared" si="11"/>
        <v>2597.34</v>
      </c>
    </row>
    <row r="823" spans="1:12" ht="30" customHeight="1">
      <c r="A823" s="37">
        <v>545</v>
      </c>
      <c r="B823" s="38" t="s">
        <v>130</v>
      </c>
      <c r="C823" s="40" t="s">
        <v>131</v>
      </c>
      <c r="D823" s="40" t="s">
        <v>109</v>
      </c>
      <c r="E823" s="41" t="s">
        <v>25</v>
      </c>
      <c r="F823" s="41">
        <v>1</v>
      </c>
      <c r="G823" s="311">
        <v>280</v>
      </c>
      <c r="H823" s="155" t="s">
        <v>19</v>
      </c>
      <c r="I823" s="100"/>
      <c r="L823" s="74">
        <f t="shared" si="11"/>
        <v>280</v>
      </c>
    </row>
    <row r="824" spans="1:12" ht="30" customHeight="1">
      <c r="A824" s="37">
        <v>546</v>
      </c>
      <c r="B824" s="38" t="s">
        <v>130</v>
      </c>
      <c r="C824" s="40" t="s">
        <v>131</v>
      </c>
      <c r="D824" s="40" t="s">
        <v>109</v>
      </c>
      <c r="E824" s="41" t="s">
        <v>25</v>
      </c>
      <c r="F824" s="41">
        <v>3</v>
      </c>
      <c r="G824" s="311">
        <v>840</v>
      </c>
      <c r="H824" s="155" t="s">
        <v>132</v>
      </c>
      <c r="I824" s="100"/>
      <c r="L824" s="74">
        <f t="shared" si="11"/>
        <v>840</v>
      </c>
    </row>
    <row r="825" spans="1:12" ht="30" customHeight="1">
      <c r="A825" s="37">
        <v>547</v>
      </c>
      <c r="B825" s="98" t="s">
        <v>111</v>
      </c>
      <c r="C825" s="99" t="s">
        <v>112</v>
      </c>
      <c r="D825" s="99" t="s">
        <v>109</v>
      </c>
      <c r="E825" s="162" t="s">
        <v>113</v>
      </c>
      <c r="F825" s="41" t="s">
        <v>402</v>
      </c>
      <c r="G825" s="311">
        <v>360</v>
      </c>
      <c r="H825" s="155" t="s">
        <v>63</v>
      </c>
      <c r="I825" s="100"/>
      <c r="L825" s="74">
        <f t="shared" si="11"/>
        <v>360</v>
      </c>
    </row>
    <row r="826" spans="1:12" ht="45" customHeight="1">
      <c r="A826" s="37">
        <v>548</v>
      </c>
      <c r="B826" s="38" t="s">
        <v>128</v>
      </c>
      <c r="C826" s="88" t="s">
        <v>129</v>
      </c>
      <c r="D826" s="40" t="s">
        <v>109</v>
      </c>
      <c r="E826" s="41" t="s">
        <v>25</v>
      </c>
      <c r="F826" s="41">
        <v>1</v>
      </c>
      <c r="G826" s="311">
        <v>75529</v>
      </c>
      <c r="H826" s="155" t="s">
        <v>63</v>
      </c>
      <c r="I826" s="100"/>
      <c r="L826" s="74"/>
    </row>
    <row r="827" spans="1:12" ht="45" customHeight="1">
      <c r="A827" s="37">
        <v>549</v>
      </c>
      <c r="B827" s="38" t="s">
        <v>403</v>
      </c>
      <c r="C827" s="88" t="s">
        <v>242</v>
      </c>
      <c r="D827" s="40" t="s">
        <v>109</v>
      </c>
      <c r="E827" s="41" t="s">
        <v>25</v>
      </c>
      <c r="F827" s="41">
        <v>2</v>
      </c>
      <c r="G827" s="311">
        <v>325</v>
      </c>
      <c r="H827" s="155" t="s">
        <v>19</v>
      </c>
      <c r="I827" s="100"/>
      <c r="L827" s="74"/>
    </row>
    <row r="828" spans="1:12" ht="45" customHeight="1">
      <c r="A828" s="37">
        <v>550</v>
      </c>
      <c r="B828" s="38" t="s">
        <v>404</v>
      </c>
      <c r="C828" s="88" t="s">
        <v>242</v>
      </c>
      <c r="D828" s="40" t="s">
        <v>109</v>
      </c>
      <c r="E828" s="41" t="s">
        <v>25</v>
      </c>
      <c r="F828" s="41">
        <v>2</v>
      </c>
      <c r="G828" s="311">
        <v>366.9</v>
      </c>
      <c r="H828" s="155" t="s">
        <v>19</v>
      </c>
      <c r="I828" s="100"/>
      <c r="L828" s="74"/>
    </row>
    <row r="829" spans="1:12" s="10" customFormat="1" ht="30" customHeight="1">
      <c r="A829" s="296"/>
      <c r="B829" s="260" t="s">
        <v>136</v>
      </c>
      <c r="C829" s="261"/>
      <c r="D829" s="262"/>
      <c r="E829" s="263"/>
      <c r="F829" s="263"/>
      <c r="G829" s="297">
        <f>SUM(G820:G828)</f>
        <v>83369</v>
      </c>
      <c r="H829" s="265"/>
      <c r="I829" s="100"/>
      <c r="K829" s="267"/>
      <c r="L829" s="267" t="e">
        <f>SUM(#REF!)</f>
        <v>#REF!</v>
      </c>
    </row>
    <row r="830" spans="1:11" ht="30" customHeight="1">
      <c r="A830" s="37">
        <v>551</v>
      </c>
      <c r="B830" s="38" t="s">
        <v>137</v>
      </c>
      <c r="C830" s="40" t="s">
        <v>138</v>
      </c>
      <c r="D830" s="40" t="s">
        <v>139</v>
      </c>
      <c r="E830" s="41" t="s">
        <v>140</v>
      </c>
      <c r="F830" s="53">
        <f>G830/67.76</f>
        <v>3212.514757969303</v>
      </c>
      <c r="G830" s="295">
        <v>217680</v>
      </c>
      <c r="H830" s="40" t="s">
        <v>63</v>
      </c>
      <c r="I830" s="100"/>
      <c r="K830" s="12">
        <v>89955</v>
      </c>
    </row>
    <row r="831" spans="1:9" s="10" customFormat="1" ht="30" customHeight="1">
      <c r="A831" s="296"/>
      <c r="B831" s="260" t="s">
        <v>141</v>
      </c>
      <c r="C831" s="261"/>
      <c r="D831" s="262"/>
      <c r="E831" s="263"/>
      <c r="F831" s="263"/>
      <c r="G831" s="297">
        <f>SUM(G830:G830)</f>
        <v>217680</v>
      </c>
      <c r="H831" s="265"/>
      <c r="I831" s="100"/>
    </row>
    <row r="832" spans="1:9" ht="30" customHeight="1">
      <c r="A832" s="37">
        <v>552</v>
      </c>
      <c r="B832" s="38" t="s">
        <v>142</v>
      </c>
      <c r="C832" s="54" t="s">
        <v>143</v>
      </c>
      <c r="D832" s="40" t="s">
        <v>144</v>
      </c>
      <c r="E832" s="41" t="s">
        <v>145</v>
      </c>
      <c r="F832" s="56">
        <f>G832/4.14243</f>
        <v>839.3624032270914</v>
      </c>
      <c r="G832" s="295">
        <v>3477</v>
      </c>
      <c r="H832" s="40" t="s">
        <v>63</v>
      </c>
      <c r="I832" s="100"/>
    </row>
    <row r="833" spans="1:9" s="10" customFormat="1" ht="30" customHeight="1">
      <c r="A833" s="296"/>
      <c r="B833" s="260" t="s">
        <v>146</v>
      </c>
      <c r="C833" s="261"/>
      <c r="D833" s="262"/>
      <c r="E833" s="262"/>
      <c r="F833" s="262"/>
      <c r="G833" s="297">
        <f>G832</f>
        <v>3477</v>
      </c>
      <c r="H833" s="265"/>
      <c r="I833" s="100"/>
    </row>
    <row r="834" spans="1:9" ht="45" customHeight="1">
      <c r="A834" s="37">
        <v>553</v>
      </c>
      <c r="B834" s="38" t="s">
        <v>405</v>
      </c>
      <c r="C834" s="54" t="s">
        <v>406</v>
      </c>
      <c r="D834" s="40" t="s">
        <v>149</v>
      </c>
      <c r="E834" s="41" t="s">
        <v>25</v>
      </c>
      <c r="F834" s="56">
        <v>1</v>
      </c>
      <c r="G834" s="295">
        <v>88950</v>
      </c>
      <c r="H834" s="40" t="s">
        <v>63</v>
      </c>
      <c r="I834" s="100"/>
    </row>
    <row r="835" spans="1:9" s="10" customFormat="1" ht="30" customHeight="1">
      <c r="A835" s="296"/>
      <c r="B835" s="260" t="s">
        <v>150</v>
      </c>
      <c r="C835" s="261"/>
      <c r="D835" s="262"/>
      <c r="E835" s="262"/>
      <c r="F835" s="262"/>
      <c r="G835" s="297">
        <f>G834</f>
        <v>88950</v>
      </c>
      <c r="H835" s="265"/>
      <c r="I835" s="100"/>
    </row>
    <row r="836" spans="1:9" ht="22.5" customHeight="1">
      <c r="A836" s="19"/>
      <c r="B836" s="208" t="s">
        <v>151</v>
      </c>
      <c r="C836" s="167"/>
      <c r="D836" s="168"/>
      <c r="E836" s="207"/>
      <c r="F836" s="170"/>
      <c r="G836" s="304"/>
      <c r="H836" s="171"/>
      <c r="I836" s="223"/>
    </row>
    <row r="837" spans="1:9" ht="22.5" customHeight="1">
      <c r="A837" s="19"/>
      <c r="B837" s="106" t="s">
        <v>152</v>
      </c>
      <c r="C837" s="107"/>
      <c r="D837" s="108" t="s">
        <v>153</v>
      </c>
      <c r="E837" s="109"/>
      <c r="F837" s="109"/>
      <c r="G837" s="304"/>
      <c r="H837" s="171"/>
      <c r="I837" s="223"/>
    </row>
    <row r="838" spans="1:9" s="8" customFormat="1" ht="22.5" customHeight="1">
      <c r="A838" s="19"/>
      <c r="B838" s="111"/>
      <c r="C838" s="9"/>
      <c r="D838" s="112" t="s">
        <v>154</v>
      </c>
      <c r="E838" s="113" t="s">
        <v>155</v>
      </c>
      <c r="F838" s="114"/>
      <c r="G838" s="304"/>
      <c r="H838" s="171"/>
      <c r="I838" s="223"/>
    </row>
    <row r="839" spans="1:9" s="8" customFormat="1" ht="22.5" customHeight="1">
      <c r="A839" s="19"/>
      <c r="B839" s="115" t="s">
        <v>156</v>
      </c>
      <c r="C839" s="116"/>
      <c r="D839" s="108" t="s">
        <v>157</v>
      </c>
      <c r="E839" s="109"/>
      <c r="F839" s="109"/>
      <c r="G839" s="304"/>
      <c r="H839" s="171"/>
      <c r="I839" s="223"/>
    </row>
    <row r="840" spans="1:9" ht="22.5" customHeight="1">
      <c r="A840" s="19"/>
      <c r="B840" s="111"/>
      <c r="C840" s="9"/>
      <c r="D840" s="112" t="s">
        <v>154</v>
      </c>
      <c r="E840" s="113"/>
      <c r="F840" s="114"/>
      <c r="G840" s="304"/>
      <c r="H840" s="8"/>
      <c r="I840" s="141"/>
    </row>
    <row r="841" spans="1:9" s="8" customFormat="1" ht="22.5" customHeight="1">
      <c r="A841" s="19"/>
      <c r="B841" s="115" t="s">
        <v>158</v>
      </c>
      <c r="C841" s="9"/>
      <c r="D841" s="9"/>
      <c r="E841" s="9"/>
      <c r="F841" s="9"/>
      <c r="G841" s="304"/>
      <c r="H841" s="171"/>
      <c r="I841" s="223"/>
    </row>
    <row r="842" spans="1:9" s="2" customFormat="1" ht="30" customHeight="1">
      <c r="A842" s="169"/>
      <c r="B842" s="229" t="s">
        <v>159</v>
      </c>
      <c r="C842" s="167"/>
      <c r="D842" s="291" t="s">
        <v>160</v>
      </c>
      <c r="E842" s="229"/>
      <c r="F842" s="170"/>
      <c r="G842" s="307"/>
      <c r="H842" s="171"/>
      <c r="I842" s="326"/>
    </row>
    <row r="843" spans="1:9" ht="22.5" customHeight="1">
      <c r="A843" s="19"/>
      <c r="B843" s="230" t="s">
        <v>161</v>
      </c>
      <c r="C843" s="167"/>
      <c r="D843" s="168"/>
      <c r="E843" s="207"/>
      <c r="F843" s="170"/>
      <c r="G843" s="304"/>
      <c r="H843" s="171"/>
      <c r="I843" s="223"/>
    </row>
    <row r="844" spans="1:9" ht="67.5" customHeight="1">
      <c r="A844" s="19"/>
      <c r="B844" s="8" t="s">
        <v>0</v>
      </c>
      <c r="C844" s="20"/>
      <c r="D844" s="21"/>
      <c r="E844" s="22"/>
      <c r="F844" s="23" t="s">
        <v>1</v>
      </c>
      <c r="G844" s="23"/>
      <c r="H844" s="21"/>
      <c r="I844" s="70"/>
    </row>
    <row r="845" spans="1:9" ht="45" customHeight="1">
      <c r="A845" s="317" t="s">
        <v>355</v>
      </c>
      <c r="B845" s="317"/>
      <c r="C845" s="317"/>
      <c r="D845" s="317"/>
      <c r="E845" s="317"/>
      <c r="F845" s="317"/>
      <c r="G845" s="317"/>
      <c r="H845" s="317"/>
      <c r="I845" s="317"/>
    </row>
    <row r="846" spans="1:9" s="7" customFormat="1" ht="29.25" customHeight="1" hidden="1">
      <c r="A846" s="35" t="s">
        <v>678</v>
      </c>
      <c r="B846" s="173"/>
      <c r="C846" s="173"/>
      <c r="D846" s="173"/>
      <c r="E846" s="173"/>
      <c r="F846" s="173"/>
      <c r="G846" s="173"/>
      <c r="H846" s="173"/>
      <c r="I846" s="173"/>
    </row>
    <row r="847" spans="3:9" ht="15" customHeight="1">
      <c r="C847" s="124"/>
      <c r="D847" s="125" t="s">
        <v>4</v>
      </c>
      <c r="E847" s="124"/>
      <c r="F847" s="124"/>
      <c r="G847" s="3"/>
      <c r="H847" s="16"/>
      <c r="I847" s="16"/>
    </row>
    <row r="848" ht="15" customHeight="1"/>
    <row r="849" spans="1:11" ht="15.75" customHeight="1">
      <c r="A849" s="26" t="s">
        <v>5</v>
      </c>
      <c r="B849" s="27" t="s">
        <v>6</v>
      </c>
      <c r="C849" s="28" t="s">
        <v>7</v>
      </c>
      <c r="D849" s="28" t="s">
        <v>249</v>
      </c>
      <c r="E849" s="28" t="s">
        <v>9</v>
      </c>
      <c r="F849" s="28" t="s">
        <v>10</v>
      </c>
      <c r="G849" s="28" t="s">
        <v>250</v>
      </c>
      <c r="H849" s="28" t="s">
        <v>251</v>
      </c>
      <c r="I849" s="28" t="s">
        <v>13</v>
      </c>
      <c r="J849" s="71"/>
      <c r="K849" s="71"/>
    </row>
    <row r="850" spans="1:9" ht="31.5" customHeight="1">
      <c r="A850" s="29"/>
      <c r="B850" s="30"/>
      <c r="C850" s="31"/>
      <c r="D850" s="31"/>
      <c r="E850" s="31"/>
      <c r="F850" s="31"/>
      <c r="G850" s="31"/>
      <c r="H850" s="31"/>
      <c r="I850" s="31"/>
    </row>
    <row r="851" spans="1:9" ht="37.5" customHeight="1">
      <c r="A851" s="32"/>
      <c r="B851" s="33"/>
      <c r="C851" s="34"/>
      <c r="D851" s="34"/>
      <c r="E851" s="34"/>
      <c r="F851" s="34"/>
      <c r="G851" s="34"/>
      <c r="H851" s="34"/>
      <c r="I851" s="34"/>
    </row>
    <row r="852" spans="1:14" ht="20.25" customHeight="1">
      <c r="A852" s="32">
        <v>1</v>
      </c>
      <c r="B852" s="33">
        <v>2</v>
      </c>
      <c r="C852" s="34">
        <v>3</v>
      </c>
      <c r="D852" s="34">
        <v>4</v>
      </c>
      <c r="E852" s="34">
        <v>5</v>
      </c>
      <c r="F852" s="34">
        <v>6</v>
      </c>
      <c r="G852" s="34">
        <v>7</v>
      </c>
      <c r="H852" s="34">
        <v>8</v>
      </c>
      <c r="I852" s="72">
        <v>9</v>
      </c>
      <c r="N852" s="12" t="s">
        <v>298</v>
      </c>
    </row>
    <row r="853" spans="1:12" ht="30" customHeight="1">
      <c r="A853" s="37">
        <v>554</v>
      </c>
      <c r="B853" s="38" t="s">
        <v>356</v>
      </c>
      <c r="C853" s="247" t="s">
        <v>16</v>
      </c>
      <c r="D853" s="40" t="s">
        <v>17</v>
      </c>
      <c r="E853" s="41" t="s">
        <v>18</v>
      </c>
      <c r="F853" s="41">
        <v>5</v>
      </c>
      <c r="G853" s="295">
        <v>1050</v>
      </c>
      <c r="H853" s="51" t="s">
        <v>19</v>
      </c>
      <c r="I853" s="224" t="s">
        <v>253</v>
      </c>
      <c r="J853" s="12">
        <v>55</v>
      </c>
      <c r="K853" s="12">
        <v>2058</v>
      </c>
      <c r="L853" s="74">
        <f aca="true" t="shared" si="12" ref="L853:L859">G853-K853</f>
        <v>-1008</v>
      </c>
    </row>
    <row r="854" spans="1:14" ht="60" customHeight="1">
      <c r="A854" s="37">
        <v>555</v>
      </c>
      <c r="B854" s="38" t="s">
        <v>357</v>
      </c>
      <c r="C854" s="96" t="s">
        <v>16</v>
      </c>
      <c r="D854" s="40" t="s">
        <v>17</v>
      </c>
      <c r="E854" s="41" t="s">
        <v>22</v>
      </c>
      <c r="F854" s="41">
        <v>3</v>
      </c>
      <c r="G854" s="295">
        <v>1107.63</v>
      </c>
      <c r="H854" s="51" t="s">
        <v>19</v>
      </c>
      <c r="I854" s="224"/>
      <c r="J854" s="12">
        <v>6</v>
      </c>
      <c r="K854" s="12">
        <v>1560</v>
      </c>
      <c r="L854" s="74">
        <f t="shared" si="12"/>
        <v>-452.3699999999999</v>
      </c>
      <c r="M854" s="12">
        <v>4</v>
      </c>
      <c r="N854" s="12">
        <v>1040</v>
      </c>
    </row>
    <row r="855" spans="1:14" ht="30" customHeight="1">
      <c r="A855" s="37">
        <v>556</v>
      </c>
      <c r="B855" s="38" t="s">
        <v>358</v>
      </c>
      <c r="C855" s="40" t="s">
        <v>27</v>
      </c>
      <c r="D855" s="40" t="s">
        <v>17</v>
      </c>
      <c r="E855" s="41" t="s">
        <v>25</v>
      </c>
      <c r="F855" s="41">
        <v>10</v>
      </c>
      <c r="G855" s="295">
        <v>593.5</v>
      </c>
      <c r="H855" s="51" t="s">
        <v>19</v>
      </c>
      <c r="I855" s="224"/>
      <c r="J855" s="12">
        <v>2</v>
      </c>
      <c r="K855" s="12">
        <f>347.3</f>
        <v>347.3</v>
      </c>
      <c r="L855" s="74">
        <f t="shared" si="12"/>
        <v>246.2</v>
      </c>
      <c r="M855" s="12">
        <v>1</v>
      </c>
      <c r="N855" s="12">
        <v>173.65</v>
      </c>
    </row>
    <row r="856" spans="1:12" ht="30" customHeight="1">
      <c r="A856" s="37">
        <v>557</v>
      </c>
      <c r="B856" s="38" t="s">
        <v>359</v>
      </c>
      <c r="C856" s="40" t="s">
        <v>27</v>
      </c>
      <c r="D856" s="40" t="s">
        <v>17</v>
      </c>
      <c r="E856" s="41" t="s">
        <v>25</v>
      </c>
      <c r="F856" s="41">
        <v>1</v>
      </c>
      <c r="G856" s="295">
        <v>176.38</v>
      </c>
      <c r="H856" s="51" t="s">
        <v>19</v>
      </c>
      <c r="I856" s="224"/>
      <c r="J856" s="12">
        <v>150</v>
      </c>
      <c r="K856" s="12">
        <v>7905</v>
      </c>
      <c r="L856" s="74">
        <f t="shared" si="12"/>
        <v>-7728.62</v>
      </c>
    </row>
    <row r="857" spans="1:14" ht="30" customHeight="1">
      <c r="A857" s="37">
        <v>558</v>
      </c>
      <c r="B857" s="38" t="s">
        <v>335</v>
      </c>
      <c r="C857" s="248" t="s">
        <v>260</v>
      </c>
      <c r="D857" s="40" t="s">
        <v>17</v>
      </c>
      <c r="E857" s="41" t="s">
        <v>25</v>
      </c>
      <c r="F857" s="41">
        <v>2</v>
      </c>
      <c r="G857" s="295">
        <v>7000</v>
      </c>
      <c r="H857" s="51" t="s">
        <v>19</v>
      </c>
      <c r="I857" s="224"/>
      <c r="L857" s="74">
        <f t="shared" si="12"/>
        <v>7000</v>
      </c>
      <c r="M857" s="12">
        <v>75</v>
      </c>
      <c r="N857" s="12">
        <v>2486.25</v>
      </c>
    </row>
    <row r="858" spans="1:12" ht="60" customHeight="1">
      <c r="A858" s="37">
        <v>559</v>
      </c>
      <c r="B858" s="38" t="s">
        <v>360</v>
      </c>
      <c r="C858" s="40" t="s">
        <v>47</v>
      </c>
      <c r="D858" s="40" t="s">
        <v>17</v>
      </c>
      <c r="E858" s="41" t="s">
        <v>25</v>
      </c>
      <c r="F858" s="41">
        <v>1</v>
      </c>
      <c r="G858" s="295">
        <v>432</v>
      </c>
      <c r="H858" s="51" t="s">
        <v>19</v>
      </c>
      <c r="I858" s="224"/>
      <c r="J858" s="12">
        <v>150</v>
      </c>
      <c r="K858" s="12">
        <v>3400.5</v>
      </c>
      <c r="L858" s="74">
        <f t="shared" si="12"/>
        <v>-2968.5</v>
      </c>
    </row>
    <row r="859" spans="1:12" ht="30" customHeight="1">
      <c r="A859" s="37">
        <v>560</v>
      </c>
      <c r="B859" s="38" t="s">
        <v>361</v>
      </c>
      <c r="C859" s="96" t="s">
        <v>44</v>
      </c>
      <c r="D859" s="40" t="s">
        <v>17</v>
      </c>
      <c r="E859" s="41" t="s">
        <v>25</v>
      </c>
      <c r="F859" s="41">
        <v>1</v>
      </c>
      <c r="G859" s="295">
        <v>227.5</v>
      </c>
      <c r="H859" s="51" t="s">
        <v>19</v>
      </c>
      <c r="I859" s="224"/>
      <c r="L859" s="74">
        <f t="shared" si="12"/>
        <v>227.5</v>
      </c>
    </row>
    <row r="860" spans="1:11" ht="30" customHeight="1">
      <c r="A860" s="37">
        <v>561</v>
      </c>
      <c r="B860" s="38" t="s">
        <v>362</v>
      </c>
      <c r="C860" s="40" t="s">
        <v>179</v>
      </c>
      <c r="D860" s="40" t="s">
        <v>17</v>
      </c>
      <c r="E860" s="41" t="s">
        <v>25</v>
      </c>
      <c r="F860" s="41">
        <v>3</v>
      </c>
      <c r="G860" s="295">
        <v>507.15</v>
      </c>
      <c r="H860" s="51" t="s">
        <v>19</v>
      </c>
      <c r="I860" s="224"/>
      <c r="K860" s="12">
        <v>334</v>
      </c>
    </row>
    <row r="861" spans="1:14" ht="30" customHeight="1">
      <c r="A861" s="37">
        <v>562</v>
      </c>
      <c r="B861" s="38" t="s">
        <v>363</v>
      </c>
      <c r="C861" s="96" t="s">
        <v>40</v>
      </c>
      <c r="D861" s="40" t="s">
        <v>17</v>
      </c>
      <c r="E861" s="41" t="s">
        <v>25</v>
      </c>
      <c r="F861" s="41">
        <v>2</v>
      </c>
      <c r="G861" s="295">
        <v>415.9</v>
      </c>
      <c r="H861" s="51" t="s">
        <v>19</v>
      </c>
      <c r="I861" s="224"/>
      <c r="K861" s="12">
        <f>SUM(K853:K860)</f>
        <v>15604.8</v>
      </c>
      <c r="L861" s="12">
        <f>SUM(L853:L859)</f>
        <v>-4683.789999999999</v>
      </c>
      <c r="M861" s="12">
        <f>334+22960.8</f>
        <v>23294.8</v>
      </c>
      <c r="N861" s="12">
        <f>K861-M861</f>
        <v>-7690</v>
      </c>
    </row>
    <row r="862" spans="1:9" ht="30" customHeight="1">
      <c r="A862" s="37">
        <v>563</v>
      </c>
      <c r="B862" s="38" t="s">
        <v>364</v>
      </c>
      <c r="C862" s="40" t="s">
        <v>24</v>
      </c>
      <c r="D862" s="40" t="s">
        <v>17</v>
      </c>
      <c r="E862" s="41" t="s">
        <v>25</v>
      </c>
      <c r="F862" s="41">
        <v>1</v>
      </c>
      <c r="G862" s="295">
        <v>180</v>
      </c>
      <c r="H862" s="51" t="s">
        <v>19</v>
      </c>
      <c r="I862" s="224"/>
    </row>
    <row r="863" spans="1:12" ht="30" customHeight="1">
      <c r="A863" s="37">
        <v>564</v>
      </c>
      <c r="B863" s="38" t="s">
        <v>365</v>
      </c>
      <c r="C863" s="40" t="s">
        <v>24</v>
      </c>
      <c r="D863" s="40" t="s">
        <v>17</v>
      </c>
      <c r="E863" s="41" t="s">
        <v>25</v>
      </c>
      <c r="F863" s="41">
        <v>2</v>
      </c>
      <c r="G863" s="295">
        <v>140.74</v>
      </c>
      <c r="H863" s="51" t="s">
        <v>19</v>
      </c>
      <c r="I863" s="224"/>
      <c r="K863" s="12">
        <v>93.14</v>
      </c>
      <c r="L863" s="74" t="e">
        <f>#REF!-K863</f>
        <v>#REF!</v>
      </c>
    </row>
    <row r="864" spans="1:12" ht="30" customHeight="1">
      <c r="A864" s="37">
        <v>565</v>
      </c>
      <c r="B864" s="38" t="s">
        <v>366</v>
      </c>
      <c r="C864" s="40" t="s">
        <v>44</v>
      </c>
      <c r="D864" s="40" t="s">
        <v>17</v>
      </c>
      <c r="E864" s="41" t="s">
        <v>25</v>
      </c>
      <c r="F864" s="41">
        <v>1</v>
      </c>
      <c r="G864" s="295">
        <v>97</v>
      </c>
      <c r="H864" s="51" t="s">
        <v>19</v>
      </c>
      <c r="I864" s="224"/>
      <c r="K864" s="12">
        <f>1244.83+1112.72</f>
        <v>2357.55</v>
      </c>
      <c r="L864" s="74" t="e">
        <f>#REF!-K864</f>
        <v>#REF!</v>
      </c>
    </row>
    <row r="865" spans="1:12" ht="30" customHeight="1">
      <c r="A865" s="37">
        <v>566</v>
      </c>
      <c r="B865" s="38" t="s">
        <v>367</v>
      </c>
      <c r="C865" s="96" t="s">
        <v>44</v>
      </c>
      <c r="D865" s="40" t="s">
        <v>17</v>
      </c>
      <c r="E865" s="41" t="s">
        <v>25</v>
      </c>
      <c r="F865" s="41">
        <v>2</v>
      </c>
      <c r="G865" s="295">
        <v>1104</v>
      </c>
      <c r="H865" s="51" t="s">
        <v>19</v>
      </c>
      <c r="I865" s="224"/>
      <c r="K865" s="12">
        <f>72</f>
        <v>72</v>
      </c>
      <c r="L865" s="74" t="e">
        <f>#REF!-K865</f>
        <v>#REF!</v>
      </c>
    </row>
    <row r="866" spans="1:12" ht="30" customHeight="1">
      <c r="A866" s="37">
        <v>567</v>
      </c>
      <c r="B866" s="38" t="s">
        <v>368</v>
      </c>
      <c r="C866" s="40" t="s">
        <v>42</v>
      </c>
      <c r="D866" s="40" t="s">
        <v>17</v>
      </c>
      <c r="E866" s="41" t="s">
        <v>25</v>
      </c>
      <c r="F866" s="41">
        <v>2</v>
      </c>
      <c r="G866" s="295">
        <v>304</v>
      </c>
      <c r="H866" s="51" t="s">
        <v>19</v>
      </c>
      <c r="I866" s="224"/>
      <c r="J866" s="12">
        <v>1</v>
      </c>
      <c r="K866" s="12">
        <v>204</v>
      </c>
      <c r="L866" s="74" t="e">
        <f>#REF!-K866</f>
        <v>#REF!</v>
      </c>
    </row>
    <row r="867" spans="1:12" ht="30" customHeight="1">
      <c r="A867" s="37">
        <v>568</v>
      </c>
      <c r="B867" s="38" t="s">
        <v>369</v>
      </c>
      <c r="C867" s="40" t="s">
        <v>40</v>
      </c>
      <c r="D867" s="40" t="s">
        <v>17</v>
      </c>
      <c r="E867" s="41" t="s">
        <v>25</v>
      </c>
      <c r="F867" s="41">
        <v>2</v>
      </c>
      <c r="G867" s="295">
        <v>166.14</v>
      </c>
      <c r="H867" s="51" t="s">
        <v>19</v>
      </c>
      <c r="I867" s="224"/>
      <c r="K867" s="12">
        <v>2214.94</v>
      </c>
      <c r="L867" s="74" t="e">
        <f>#REF!-K867</f>
        <v>#REF!</v>
      </c>
    </row>
    <row r="868" spans="1:12" ht="30" customHeight="1">
      <c r="A868" s="37">
        <v>569</v>
      </c>
      <c r="B868" s="38" t="s">
        <v>370</v>
      </c>
      <c r="C868" s="40" t="s">
        <v>371</v>
      </c>
      <c r="D868" s="40" t="s">
        <v>17</v>
      </c>
      <c r="E868" s="41" t="s">
        <v>25</v>
      </c>
      <c r="F868" s="41">
        <v>2</v>
      </c>
      <c r="G868" s="295">
        <v>1026.66</v>
      </c>
      <c r="H868" s="51" t="s">
        <v>19</v>
      </c>
      <c r="I868" s="224"/>
      <c r="K868" s="12">
        <v>490</v>
      </c>
      <c r="L868" s="74" t="e">
        <f>#REF!-K868</f>
        <v>#REF!</v>
      </c>
    </row>
    <row r="869" spans="1:12" ht="30" customHeight="1">
      <c r="A869" s="37">
        <v>570</v>
      </c>
      <c r="B869" s="38" t="s">
        <v>372</v>
      </c>
      <c r="C869" s="40" t="s">
        <v>56</v>
      </c>
      <c r="D869" s="40" t="s">
        <v>17</v>
      </c>
      <c r="E869" s="41" t="s">
        <v>25</v>
      </c>
      <c r="F869" s="41">
        <v>1</v>
      </c>
      <c r="G869" s="295">
        <v>8850</v>
      </c>
      <c r="H869" s="51" t="s">
        <v>19</v>
      </c>
      <c r="I869" s="224"/>
      <c r="K869" s="12">
        <f>498.04+498.04</f>
        <v>996.08</v>
      </c>
      <c r="L869" s="74" t="e">
        <f>#REF!-K869</f>
        <v>#REF!</v>
      </c>
    </row>
    <row r="870" spans="1:12" ht="30" customHeight="1">
      <c r="A870" s="37">
        <v>571</v>
      </c>
      <c r="B870" s="38" t="s">
        <v>373</v>
      </c>
      <c r="C870" s="96" t="s">
        <v>52</v>
      </c>
      <c r="D870" s="40" t="s">
        <v>17</v>
      </c>
      <c r="E870" s="41" t="s">
        <v>25</v>
      </c>
      <c r="F870" s="41">
        <v>42</v>
      </c>
      <c r="G870" s="295">
        <v>781.2</v>
      </c>
      <c r="H870" s="51" t="s">
        <v>19</v>
      </c>
      <c r="I870" s="224"/>
      <c r="K870" s="12">
        <f>280+560+504</f>
        <v>1344</v>
      </c>
      <c r="L870" s="74">
        <f>G875-K870</f>
        <v>31116</v>
      </c>
    </row>
    <row r="871" spans="1:12" ht="45" customHeight="1">
      <c r="A871" s="37">
        <v>572</v>
      </c>
      <c r="B871" s="38" t="s">
        <v>331</v>
      </c>
      <c r="C871" s="96" t="s">
        <v>332</v>
      </c>
      <c r="D871" s="40" t="s">
        <v>17</v>
      </c>
      <c r="E871" s="41" t="s">
        <v>25</v>
      </c>
      <c r="F871" s="41">
        <v>1</v>
      </c>
      <c r="G871" s="295">
        <v>2200</v>
      </c>
      <c r="H871" s="51" t="s">
        <v>19</v>
      </c>
      <c r="I871" s="224"/>
      <c r="K871" s="12">
        <f>700+620</f>
        <v>1320</v>
      </c>
      <c r="L871" s="74" t="e">
        <f>#REF!-K871</f>
        <v>#REF!</v>
      </c>
    </row>
    <row r="872" spans="1:12" ht="30" customHeight="1">
      <c r="A872" s="37">
        <v>573</v>
      </c>
      <c r="B872" s="38" t="s">
        <v>374</v>
      </c>
      <c r="C872" s="96" t="s">
        <v>375</v>
      </c>
      <c r="D872" s="40" t="s">
        <v>17</v>
      </c>
      <c r="E872" s="41" t="s">
        <v>25</v>
      </c>
      <c r="F872" s="41">
        <v>60</v>
      </c>
      <c r="G872" s="295">
        <v>2400</v>
      </c>
      <c r="H872" s="51" t="s">
        <v>19</v>
      </c>
      <c r="I872" s="224"/>
      <c r="K872" s="74">
        <f>SUM(K862:K871)</f>
        <v>9091.71</v>
      </c>
      <c r="L872" s="74" t="e">
        <f>SUM(L863:L871)</f>
        <v>#REF!</v>
      </c>
    </row>
    <row r="873" spans="1:10" ht="30" customHeight="1">
      <c r="A873" s="37">
        <v>574</v>
      </c>
      <c r="B873" s="38" t="s">
        <v>376</v>
      </c>
      <c r="C873" s="40" t="s">
        <v>44</v>
      </c>
      <c r="D873" s="40" t="s">
        <v>17</v>
      </c>
      <c r="E873" s="41" t="s">
        <v>25</v>
      </c>
      <c r="F873" s="41">
        <v>1</v>
      </c>
      <c r="G873" s="295">
        <v>1200</v>
      </c>
      <c r="H873" s="51" t="s">
        <v>19</v>
      </c>
      <c r="I873" s="224"/>
      <c r="J873" s="251"/>
    </row>
    <row r="874" spans="1:12" ht="33" customHeight="1">
      <c r="A874" s="37">
        <v>575</v>
      </c>
      <c r="B874" s="38" t="s">
        <v>57</v>
      </c>
      <c r="C874" s="40" t="s">
        <v>58</v>
      </c>
      <c r="D874" s="40" t="s">
        <v>17</v>
      </c>
      <c r="E874" s="41" t="s">
        <v>25</v>
      </c>
      <c r="F874" s="41">
        <v>1</v>
      </c>
      <c r="G874" s="295">
        <v>2500.2</v>
      </c>
      <c r="H874" s="155" t="s">
        <v>19</v>
      </c>
      <c r="I874" s="224"/>
      <c r="L874" s="74"/>
    </row>
    <row r="875" spans="1:14" s="10" customFormat="1" ht="30" customHeight="1">
      <c r="A875" s="296"/>
      <c r="B875" s="308" t="s">
        <v>59</v>
      </c>
      <c r="C875" s="261"/>
      <c r="D875" s="262"/>
      <c r="E875" s="263"/>
      <c r="F875" s="263"/>
      <c r="G875" s="297">
        <f>SUM(G853:G874)</f>
        <v>32460</v>
      </c>
      <c r="H875" s="265"/>
      <c r="I875" s="224"/>
      <c r="K875" s="10">
        <f>SUM(K853:K874)</f>
        <v>49393.020000000004</v>
      </c>
      <c r="L875" s="10" t="e">
        <f>SUM(L853:L874)</f>
        <v>#REF!</v>
      </c>
      <c r="N875" s="10">
        <f>K875-M875</f>
        <v>49393.020000000004</v>
      </c>
    </row>
    <row r="876" spans="1:9" ht="30" customHeight="1">
      <c r="A876" s="37">
        <v>576</v>
      </c>
      <c r="B876" s="38" t="s">
        <v>218</v>
      </c>
      <c r="C876" s="43" t="s">
        <v>219</v>
      </c>
      <c r="D876" s="40" t="s">
        <v>62</v>
      </c>
      <c r="E876" s="41" t="s">
        <v>34</v>
      </c>
      <c r="F876" s="69">
        <v>2</v>
      </c>
      <c r="G876" s="295">
        <v>45.6</v>
      </c>
      <c r="H876" s="51" t="s">
        <v>63</v>
      </c>
      <c r="I876" s="224"/>
    </row>
    <row r="877" spans="1:9" ht="30" customHeight="1">
      <c r="A877" s="37">
        <v>577</v>
      </c>
      <c r="B877" s="38" t="s">
        <v>216</v>
      </c>
      <c r="C877" s="40" t="s">
        <v>217</v>
      </c>
      <c r="D877" s="40" t="s">
        <v>62</v>
      </c>
      <c r="E877" s="41" t="s">
        <v>34</v>
      </c>
      <c r="F877" s="69">
        <v>50</v>
      </c>
      <c r="G877" s="295">
        <v>954</v>
      </c>
      <c r="H877" s="51" t="s">
        <v>63</v>
      </c>
      <c r="I877" s="224"/>
    </row>
    <row r="878" spans="1:9" ht="30" customHeight="1">
      <c r="A878" s="37">
        <v>578</v>
      </c>
      <c r="B878" s="38" t="s">
        <v>64</v>
      </c>
      <c r="C878" s="40" t="s">
        <v>65</v>
      </c>
      <c r="D878" s="40" t="s">
        <v>62</v>
      </c>
      <c r="E878" s="41" t="s">
        <v>34</v>
      </c>
      <c r="F878" s="69">
        <v>250</v>
      </c>
      <c r="G878" s="295">
        <v>4256</v>
      </c>
      <c r="H878" s="51" t="s">
        <v>63</v>
      </c>
      <c r="I878" s="224"/>
    </row>
    <row r="879" spans="1:9" ht="30" customHeight="1">
      <c r="A879" s="37">
        <v>579</v>
      </c>
      <c r="B879" s="38" t="s">
        <v>71</v>
      </c>
      <c r="C879" s="71" t="s">
        <v>72</v>
      </c>
      <c r="D879" s="40" t="s">
        <v>62</v>
      </c>
      <c r="E879" s="41" t="s">
        <v>34</v>
      </c>
      <c r="F879" s="69">
        <v>20</v>
      </c>
      <c r="G879" s="295">
        <v>317.9</v>
      </c>
      <c r="H879" s="51" t="s">
        <v>63</v>
      </c>
      <c r="I879" s="224"/>
    </row>
    <row r="880" spans="1:9" ht="45" customHeight="1">
      <c r="A880" s="37">
        <v>580</v>
      </c>
      <c r="B880" s="38" t="s">
        <v>73</v>
      </c>
      <c r="C880" s="40" t="s">
        <v>74</v>
      </c>
      <c r="D880" s="40" t="s">
        <v>62</v>
      </c>
      <c r="E880" s="41" t="s">
        <v>34</v>
      </c>
      <c r="F880" s="69">
        <v>40</v>
      </c>
      <c r="G880" s="295">
        <v>934</v>
      </c>
      <c r="H880" s="51" t="s">
        <v>63</v>
      </c>
      <c r="I880" s="224"/>
    </row>
    <row r="881" spans="1:9" ht="30" customHeight="1">
      <c r="A881" s="37">
        <v>581</v>
      </c>
      <c r="B881" s="38" t="s">
        <v>75</v>
      </c>
      <c r="C881" s="71" t="s">
        <v>76</v>
      </c>
      <c r="D881" s="40" t="s">
        <v>62</v>
      </c>
      <c r="E881" s="41" t="s">
        <v>77</v>
      </c>
      <c r="F881" s="69">
        <v>22</v>
      </c>
      <c r="G881" s="295">
        <v>1651.9</v>
      </c>
      <c r="H881" s="51" t="s">
        <v>63</v>
      </c>
      <c r="I881" s="224"/>
    </row>
    <row r="882" spans="1:9" ht="30" customHeight="1">
      <c r="A882" s="37">
        <v>582</v>
      </c>
      <c r="B882" s="38" t="s">
        <v>78</v>
      </c>
      <c r="C882" s="40" t="s">
        <v>79</v>
      </c>
      <c r="D882" s="40" t="s">
        <v>62</v>
      </c>
      <c r="E882" s="41" t="s">
        <v>34</v>
      </c>
      <c r="F882" s="69">
        <v>21</v>
      </c>
      <c r="G882" s="295">
        <v>6464.1</v>
      </c>
      <c r="H882" s="51" t="s">
        <v>63</v>
      </c>
      <c r="I882" s="224"/>
    </row>
    <row r="883" spans="1:9" ht="45" customHeight="1">
      <c r="A883" s="37">
        <v>583</v>
      </c>
      <c r="B883" s="38" t="s">
        <v>80</v>
      </c>
      <c r="C883" s="40" t="s">
        <v>81</v>
      </c>
      <c r="D883" s="40" t="s">
        <v>62</v>
      </c>
      <c r="E883" s="41" t="s">
        <v>82</v>
      </c>
      <c r="F883" s="69">
        <v>20.7</v>
      </c>
      <c r="G883" s="295">
        <v>841.14</v>
      </c>
      <c r="H883" s="51" t="s">
        <v>63</v>
      </c>
      <c r="I883" s="224"/>
    </row>
    <row r="884" spans="1:9" ht="30" customHeight="1">
      <c r="A884" s="37">
        <v>584</v>
      </c>
      <c r="B884" s="38" t="s">
        <v>83</v>
      </c>
      <c r="C884" s="40" t="s">
        <v>72</v>
      </c>
      <c r="D884" s="40" t="s">
        <v>62</v>
      </c>
      <c r="E884" s="41" t="s">
        <v>34</v>
      </c>
      <c r="F884" s="69">
        <v>25</v>
      </c>
      <c r="G884" s="295">
        <v>645.9</v>
      </c>
      <c r="H884" s="51" t="s">
        <v>63</v>
      </c>
      <c r="I884" s="224"/>
    </row>
    <row r="885" spans="1:9" ht="30" customHeight="1">
      <c r="A885" s="37">
        <v>585</v>
      </c>
      <c r="B885" s="38" t="s">
        <v>220</v>
      </c>
      <c r="C885" s="40" t="s">
        <v>221</v>
      </c>
      <c r="D885" s="40" t="s">
        <v>62</v>
      </c>
      <c r="E885" s="41" t="s">
        <v>34</v>
      </c>
      <c r="F885" s="69">
        <v>5</v>
      </c>
      <c r="G885" s="295">
        <v>65.5</v>
      </c>
      <c r="H885" s="51" t="s">
        <v>63</v>
      </c>
      <c r="I885" s="224"/>
    </row>
    <row r="886" spans="1:9" ht="45" customHeight="1">
      <c r="A886" s="37">
        <v>586</v>
      </c>
      <c r="B886" s="38" t="s">
        <v>84</v>
      </c>
      <c r="C886" s="40" t="s">
        <v>85</v>
      </c>
      <c r="D886" s="40" t="s">
        <v>62</v>
      </c>
      <c r="E886" s="41" t="s">
        <v>34</v>
      </c>
      <c r="F886" s="69">
        <v>6</v>
      </c>
      <c r="G886" s="295">
        <v>700.2</v>
      </c>
      <c r="H886" s="51" t="s">
        <v>63</v>
      </c>
      <c r="I886" s="224"/>
    </row>
    <row r="887" spans="1:9" ht="30" customHeight="1">
      <c r="A887" s="37">
        <v>587</v>
      </c>
      <c r="B887" s="38" t="s">
        <v>665</v>
      </c>
      <c r="C887" s="40" t="s">
        <v>666</v>
      </c>
      <c r="D887" s="40" t="s">
        <v>62</v>
      </c>
      <c r="E887" s="41" t="s">
        <v>34</v>
      </c>
      <c r="F887" s="69">
        <v>35</v>
      </c>
      <c r="G887" s="295">
        <v>4594.32</v>
      </c>
      <c r="H887" s="51" t="s">
        <v>63</v>
      </c>
      <c r="I887" s="224"/>
    </row>
    <row r="888" spans="1:9" ht="30" customHeight="1">
      <c r="A888" s="37">
        <v>588</v>
      </c>
      <c r="B888" s="38" t="s">
        <v>88</v>
      </c>
      <c r="C888" s="40" t="s">
        <v>85</v>
      </c>
      <c r="D888" s="40" t="s">
        <v>62</v>
      </c>
      <c r="E888" s="41" t="s">
        <v>34</v>
      </c>
      <c r="F888" s="69">
        <v>15</v>
      </c>
      <c r="G888" s="295">
        <v>1862.5</v>
      </c>
      <c r="H888" s="51" t="s">
        <v>63</v>
      </c>
      <c r="I888" s="224"/>
    </row>
    <row r="889" spans="1:9" ht="30" customHeight="1">
      <c r="A889" s="37">
        <v>589</v>
      </c>
      <c r="B889" s="38" t="s">
        <v>89</v>
      </c>
      <c r="C889" s="40" t="s">
        <v>90</v>
      </c>
      <c r="D889" s="40" t="s">
        <v>62</v>
      </c>
      <c r="E889" s="41" t="s">
        <v>34</v>
      </c>
      <c r="F889" s="69">
        <v>22</v>
      </c>
      <c r="G889" s="295">
        <v>1090.4</v>
      </c>
      <c r="H889" s="51" t="s">
        <v>63</v>
      </c>
      <c r="I889" s="224"/>
    </row>
    <row r="890" spans="1:9" ht="30" customHeight="1">
      <c r="A890" s="37">
        <v>590</v>
      </c>
      <c r="B890" s="38" t="s">
        <v>91</v>
      </c>
      <c r="C890" s="40" t="s">
        <v>92</v>
      </c>
      <c r="D890" s="40" t="s">
        <v>62</v>
      </c>
      <c r="E890" s="41" t="s">
        <v>34</v>
      </c>
      <c r="F890" s="69">
        <v>49</v>
      </c>
      <c r="G890" s="295">
        <v>8191.8</v>
      </c>
      <c r="H890" s="51" t="s">
        <v>63</v>
      </c>
      <c r="I890" s="224"/>
    </row>
    <row r="891" spans="1:9" ht="30" customHeight="1">
      <c r="A891" s="37">
        <v>591</v>
      </c>
      <c r="B891" s="38" t="s">
        <v>222</v>
      </c>
      <c r="C891" s="40" t="s">
        <v>223</v>
      </c>
      <c r="D891" s="40" t="s">
        <v>62</v>
      </c>
      <c r="E891" s="41" t="s">
        <v>34</v>
      </c>
      <c r="F891" s="69">
        <v>15</v>
      </c>
      <c r="G891" s="295">
        <v>292</v>
      </c>
      <c r="H891" s="51" t="s">
        <v>63</v>
      </c>
      <c r="I891" s="224"/>
    </row>
    <row r="892" spans="1:9" ht="30" customHeight="1">
      <c r="A892" s="37">
        <v>592</v>
      </c>
      <c r="B892" s="38" t="s">
        <v>274</v>
      </c>
      <c r="C892" s="40" t="s">
        <v>275</v>
      </c>
      <c r="D892" s="40" t="s">
        <v>62</v>
      </c>
      <c r="E892" s="41" t="s">
        <v>34</v>
      </c>
      <c r="F892" s="69">
        <v>50</v>
      </c>
      <c r="G892" s="295">
        <v>1800</v>
      </c>
      <c r="H892" s="51" t="s">
        <v>63</v>
      </c>
      <c r="I892" s="224"/>
    </row>
    <row r="893" spans="1:9" ht="30" customHeight="1">
      <c r="A893" s="37">
        <v>593</v>
      </c>
      <c r="B893" s="38" t="s">
        <v>224</v>
      </c>
      <c r="C893" s="40" t="s">
        <v>225</v>
      </c>
      <c r="D893" s="40" t="s">
        <v>62</v>
      </c>
      <c r="E893" s="41" t="s">
        <v>34</v>
      </c>
      <c r="F893" s="69">
        <v>10</v>
      </c>
      <c r="G893" s="295">
        <v>125.8</v>
      </c>
      <c r="H893" s="51" t="s">
        <v>63</v>
      </c>
      <c r="I893" s="224"/>
    </row>
    <row r="894" spans="1:9" ht="30" customHeight="1">
      <c r="A894" s="37">
        <v>594</v>
      </c>
      <c r="B894" s="40" t="s">
        <v>226</v>
      </c>
      <c r="C894" s="40" t="s">
        <v>227</v>
      </c>
      <c r="D894" s="40" t="s">
        <v>62</v>
      </c>
      <c r="E894" s="41" t="s">
        <v>34</v>
      </c>
      <c r="F894" s="69">
        <v>5</v>
      </c>
      <c r="G894" s="295">
        <v>687.5</v>
      </c>
      <c r="H894" s="51" t="s">
        <v>63</v>
      </c>
      <c r="I894" s="224"/>
    </row>
    <row r="895" spans="1:9" ht="30" customHeight="1">
      <c r="A895" s="37">
        <v>595</v>
      </c>
      <c r="B895" s="40" t="s">
        <v>276</v>
      </c>
      <c r="C895" s="40" t="s">
        <v>277</v>
      </c>
      <c r="D895" s="40" t="s">
        <v>62</v>
      </c>
      <c r="E895" s="41" t="s">
        <v>34</v>
      </c>
      <c r="F895" s="69">
        <v>2</v>
      </c>
      <c r="G895" s="295">
        <v>365.4</v>
      </c>
      <c r="H895" s="51" t="s">
        <v>63</v>
      </c>
      <c r="I895" s="224"/>
    </row>
    <row r="896" spans="1:9" ht="30" customHeight="1">
      <c r="A896" s="37">
        <v>596</v>
      </c>
      <c r="B896" s="40" t="s">
        <v>95</v>
      </c>
      <c r="C896" s="40" t="s">
        <v>96</v>
      </c>
      <c r="D896" s="40" t="s">
        <v>62</v>
      </c>
      <c r="E896" s="41" t="s">
        <v>34</v>
      </c>
      <c r="F896" s="69">
        <v>20</v>
      </c>
      <c r="G896" s="295">
        <v>4103.5</v>
      </c>
      <c r="H896" s="51" t="s">
        <v>63</v>
      </c>
      <c r="I896" s="224"/>
    </row>
    <row r="897" spans="1:9" ht="30" customHeight="1">
      <c r="A897" s="37">
        <v>597</v>
      </c>
      <c r="B897" s="40" t="s">
        <v>667</v>
      </c>
      <c r="C897" s="40" t="s">
        <v>668</v>
      </c>
      <c r="D897" s="40" t="s">
        <v>62</v>
      </c>
      <c r="E897" s="41" t="s">
        <v>34</v>
      </c>
      <c r="F897" s="69">
        <f>63</f>
        <v>63</v>
      </c>
      <c r="G897" s="295">
        <v>14240</v>
      </c>
      <c r="H897" s="51" t="s">
        <v>63</v>
      </c>
      <c r="I897" s="224"/>
    </row>
    <row r="898" spans="1:9" ht="45" customHeight="1">
      <c r="A898" s="37">
        <v>598</v>
      </c>
      <c r="B898" s="54" t="s">
        <v>98</v>
      </c>
      <c r="C898" s="40" t="s">
        <v>61</v>
      </c>
      <c r="D898" s="40" t="s">
        <v>62</v>
      </c>
      <c r="E898" s="41" t="s">
        <v>25</v>
      </c>
      <c r="F898" s="69">
        <v>273</v>
      </c>
      <c r="G898" s="295">
        <v>3499.62</v>
      </c>
      <c r="H898" s="51" t="s">
        <v>63</v>
      </c>
      <c r="I898" s="224"/>
    </row>
    <row r="899" spans="1:9" ht="30" customHeight="1">
      <c r="A899" s="37">
        <v>599</v>
      </c>
      <c r="B899" s="40" t="s">
        <v>99</v>
      </c>
      <c r="C899" s="40" t="s">
        <v>100</v>
      </c>
      <c r="D899" s="40" t="s">
        <v>62</v>
      </c>
      <c r="E899" s="41" t="s">
        <v>34</v>
      </c>
      <c r="F899" s="69">
        <v>30</v>
      </c>
      <c r="G899" s="295">
        <v>9145.02</v>
      </c>
      <c r="H899" s="51" t="s">
        <v>63</v>
      </c>
      <c r="I899" s="224"/>
    </row>
    <row r="900" spans="1:9" ht="30" customHeight="1">
      <c r="A900" s="37">
        <v>600</v>
      </c>
      <c r="B900" s="40" t="s">
        <v>228</v>
      </c>
      <c r="C900" s="40" t="s">
        <v>229</v>
      </c>
      <c r="D900" s="40" t="s">
        <v>62</v>
      </c>
      <c r="E900" s="41" t="s">
        <v>34</v>
      </c>
      <c r="F900" s="69">
        <v>65</v>
      </c>
      <c r="G900" s="295">
        <v>2787.5</v>
      </c>
      <c r="H900" s="51" t="s">
        <v>63</v>
      </c>
      <c r="I900" s="224"/>
    </row>
    <row r="901" spans="1:9" ht="30" customHeight="1">
      <c r="A901" s="37">
        <v>601</v>
      </c>
      <c r="B901" s="40" t="s">
        <v>103</v>
      </c>
      <c r="C901" s="40" t="s">
        <v>104</v>
      </c>
      <c r="D901" s="40" t="s">
        <v>62</v>
      </c>
      <c r="E901" s="41" t="s">
        <v>25</v>
      </c>
      <c r="F901" s="69">
        <v>1000</v>
      </c>
      <c r="G901" s="295">
        <v>4640</v>
      </c>
      <c r="H901" s="51" t="s">
        <v>63</v>
      </c>
      <c r="I901" s="224"/>
    </row>
    <row r="902" spans="1:9" ht="30" customHeight="1">
      <c r="A902" s="37">
        <v>602</v>
      </c>
      <c r="B902" s="40" t="s">
        <v>230</v>
      </c>
      <c r="C902" s="40" t="s">
        <v>231</v>
      </c>
      <c r="D902" s="40" t="s">
        <v>62</v>
      </c>
      <c r="E902" s="41" t="s">
        <v>77</v>
      </c>
      <c r="F902" s="69">
        <v>19</v>
      </c>
      <c r="G902" s="295">
        <v>1135.9</v>
      </c>
      <c r="H902" s="51" t="s">
        <v>63</v>
      </c>
      <c r="I902" s="224"/>
    </row>
    <row r="903" spans="1:9" ht="30" customHeight="1">
      <c r="A903" s="37">
        <v>603</v>
      </c>
      <c r="B903" s="38" t="s">
        <v>232</v>
      </c>
      <c r="C903" s="40" t="s">
        <v>85</v>
      </c>
      <c r="D903" s="40" t="s">
        <v>62</v>
      </c>
      <c r="E903" s="41" t="s">
        <v>34</v>
      </c>
      <c r="F903" s="69">
        <v>9</v>
      </c>
      <c r="G903" s="295">
        <v>986.12</v>
      </c>
      <c r="H903" s="51" t="s">
        <v>63</v>
      </c>
      <c r="I903" s="224"/>
    </row>
    <row r="904" spans="1:9" ht="30" customHeight="1">
      <c r="A904" s="37">
        <v>604</v>
      </c>
      <c r="B904" s="38" t="s">
        <v>105</v>
      </c>
      <c r="C904" s="40" t="s">
        <v>70</v>
      </c>
      <c r="D904" s="40" t="s">
        <v>62</v>
      </c>
      <c r="E904" s="41" t="s">
        <v>34</v>
      </c>
      <c r="F904" s="69">
        <v>27</v>
      </c>
      <c r="G904" s="295">
        <v>895.3</v>
      </c>
      <c r="H904" s="51" t="s">
        <v>63</v>
      </c>
      <c r="I904" s="224"/>
    </row>
    <row r="905" spans="1:9" ht="30" customHeight="1">
      <c r="A905" s="37">
        <v>605</v>
      </c>
      <c r="B905" s="38" t="s">
        <v>278</v>
      </c>
      <c r="C905" s="40" t="s">
        <v>70</v>
      </c>
      <c r="D905" s="40" t="s">
        <v>62</v>
      </c>
      <c r="E905" s="41" t="s">
        <v>34</v>
      </c>
      <c r="F905" s="69">
        <v>2</v>
      </c>
      <c r="G905" s="295">
        <v>36.2</v>
      </c>
      <c r="H905" s="51" t="s">
        <v>63</v>
      </c>
      <c r="I905" s="224"/>
    </row>
    <row r="906" spans="1:9" ht="30" customHeight="1">
      <c r="A906" s="37">
        <v>606</v>
      </c>
      <c r="B906" s="40" t="s">
        <v>269</v>
      </c>
      <c r="C906" s="40" t="s">
        <v>270</v>
      </c>
      <c r="D906" s="40" t="s">
        <v>62</v>
      </c>
      <c r="E906" s="41" t="s">
        <v>34</v>
      </c>
      <c r="F906" s="69">
        <v>0.2</v>
      </c>
      <c r="G906" s="295">
        <v>74.88</v>
      </c>
      <c r="H906" s="51" t="s">
        <v>63</v>
      </c>
      <c r="I906" s="224"/>
    </row>
    <row r="907" spans="1:9" s="10" customFormat="1" ht="30" customHeight="1">
      <c r="A907" s="296"/>
      <c r="B907" s="308" t="s">
        <v>106</v>
      </c>
      <c r="C907" s="331"/>
      <c r="D907" s="263"/>
      <c r="E907" s="263"/>
      <c r="F907" s="261"/>
      <c r="G907" s="297">
        <f>SUM(G876:G906)</f>
        <v>77430</v>
      </c>
      <c r="H907" s="265"/>
      <c r="I907" s="224"/>
    </row>
    <row r="908" spans="1:9" ht="30" customHeight="1">
      <c r="A908" s="37">
        <v>607</v>
      </c>
      <c r="B908" s="38" t="s">
        <v>235</v>
      </c>
      <c r="C908" s="40" t="s">
        <v>116</v>
      </c>
      <c r="D908" s="40" t="s">
        <v>109</v>
      </c>
      <c r="E908" s="41" t="s">
        <v>25</v>
      </c>
      <c r="F908" s="50" t="s">
        <v>117</v>
      </c>
      <c r="G908" s="295">
        <v>297</v>
      </c>
      <c r="H908" s="51" t="s">
        <v>63</v>
      </c>
      <c r="I908" s="224"/>
    </row>
    <row r="909" spans="1:9" ht="30" customHeight="1">
      <c r="A909" s="37">
        <v>608</v>
      </c>
      <c r="B909" s="38" t="s">
        <v>377</v>
      </c>
      <c r="C909" s="40" t="s">
        <v>119</v>
      </c>
      <c r="D909" s="40" t="s">
        <v>109</v>
      </c>
      <c r="E909" s="41" t="s">
        <v>120</v>
      </c>
      <c r="F909" s="157" t="s">
        <v>121</v>
      </c>
      <c r="G909" s="295">
        <v>3627.58</v>
      </c>
      <c r="H909" s="51" t="s">
        <v>63</v>
      </c>
      <c r="I909" s="224"/>
    </row>
    <row r="910" spans="1:9" ht="45" customHeight="1">
      <c r="A910" s="37">
        <v>609</v>
      </c>
      <c r="B910" s="38" t="s">
        <v>378</v>
      </c>
      <c r="C910" s="249" t="s">
        <v>242</v>
      </c>
      <c r="D910" s="40" t="s">
        <v>109</v>
      </c>
      <c r="E910" s="41" t="s">
        <v>25</v>
      </c>
      <c r="F910" s="41">
        <v>2</v>
      </c>
      <c r="G910" s="295">
        <v>384.48</v>
      </c>
      <c r="H910" s="51" t="s">
        <v>132</v>
      </c>
      <c r="I910" s="224"/>
    </row>
    <row r="911" spans="1:9" ht="30" customHeight="1">
      <c r="A911" s="37">
        <v>610</v>
      </c>
      <c r="B911" s="38" t="s">
        <v>379</v>
      </c>
      <c r="C911" s="40" t="s">
        <v>239</v>
      </c>
      <c r="D911" s="40" t="s">
        <v>109</v>
      </c>
      <c r="E911" s="41" t="s">
        <v>285</v>
      </c>
      <c r="F911" s="41">
        <v>275</v>
      </c>
      <c r="G911" s="295">
        <v>814</v>
      </c>
      <c r="H911" s="51" t="s">
        <v>19</v>
      </c>
      <c r="I911" s="224"/>
    </row>
    <row r="912" spans="1:9" ht="30" customHeight="1">
      <c r="A912" s="37">
        <v>611</v>
      </c>
      <c r="B912" s="40" t="s">
        <v>111</v>
      </c>
      <c r="C912" s="250" t="s">
        <v>112</v>
      </c>
      <c r="D912" s="40" t="s">
        <v>109</v>
      </c>
      <c r="E912" s="41" t="s">
        <v>77</v>
      </c>
      <c r="F912" s="41">
        <v>2400</v>
      </c>
      <c r="G912" s="295">
        <v>2880</v>
      </c>
      <c r="H912" s="51" t="s">
        <v>63</v>
      </c>
      <c r="I912" s="224"/>
    </row>
    <row r="913" spans="1:9" ht="30" customHeight="1">
      <c r="A913" s="37">
        <v>612</v>
      </c>
      <c r="B913" s="38" t="s">
        <v>380</v>
      </c>
      <c r="C913" s="40" t="s">
        <v>123</v>
      </c>
      <c r="D913" s="40" t="s">
        <v>109</v>
      </c>
      <c r="E913" s="41" t="s">
        <v>113</v>
      </c>
      <c r="F913" s="41" t="s">
        <v>117</v>
      </c>
      <c r="G913" s="295">
        <v>1413</v>
      </c>
      <c r="H913" s="51" t="s">
        <v>63</v>
      </c>
      <c r="I913" s="224"/>
    </row>
    <row r="914" spans="1:9" ht="30" customHeight="1">
      <c r="A914" s="37">
        <v>613</v>
      </c>
      <c r="B914" s="38" t="s">
        <v>130</v>
      </c>
      <c r="C914" s="40" t="s">
        <v>131</v>
      </c>
      <c r="D914" s="40" t="s">
        <v>109</v>
      </c>
      <c r="E914" s="41" t="s">
        <v>25</v>
      </c>
      <c r="F914" s="41">
        <v>6</v>
      </c>
      <c r="G914" s="295">
        <v>1512</v>
      </c>
      <c r="H914" s="51" t="s">
        <v>132</v>
      </c>
      <c r="I914" s="224"/>
    </row>
    <row r="915" spans="1:9" ht="30" customHeight="1">
      <c r="A915" s="37">
        <v>614</v>
      </c>
      <c r="B915" s="38" t="s">
        <v>321</v>
      </c>
      <c r="C915" s="40" t="s">
        <v>239</v>
      </c>
      <c r="D915" s="40" t="s">
        <v>109</v>
      </c>
      <c r="E915" s="41" t="s">
        <v>285</v>
      </c>
      <c r="F915" s="41">
        <v>543</v>
      </c>
      <c r="G915" s="295">
        <v>1400.94</v>
      </c>
      <c r="H915" s="51" t="s">
        <v>19</v>
      </c>
      <c r="I915" s="224"/>
    </row>
    <row r="916" spans="1:12" s="10" customFormat="1" ht="30" customHeight="1">
      <c r="A916" s="296"/>
      <c r="B916" s="260" t="s">
        <v>136</v>
      </c>
      <c r="C916" s="261"/>
      <c r="D916" s="262"/>
      <c r="E916" s="263"/>
      <c r="F916" s="263"/>
      <c r="G916" s="297">
        <f>SUM(G908:G915)</f>
        <v>12329</v>
      </c>
      <c r="H916" s="265"/>
      <c r="I916" s="224"/>
      <c r="K916" s="267">
        <f>SUM(K908:K915)</f>
        <v>0</v>
      </c>
      <c r="L916" s="267" t="e">
        <f>SUM(#REF!)</f>
        <v>#REF!</v>
      </c>
    </row>
    <row r="917" spans="1:11" ht="30" customHeight="1">
      <c r="A917" s="37">
        <v>615</v>
      </c>
      <c r="B917" s="38" t="s">
        <v>137</v>
      </c>
      <c r="C917" s="52" t="s">
        <v>138</v>
      </c>
      <c r="D917" s="40" t="s">
        <v>139</v>
      </c>
      <c r="E917" s="41" t="s">
        <v>140</v>
      </c>
      <c r="F917" s="53">
        <f>G917/2878.55</f>
        <v>142.75242743742507</v>
      </c>
      <c r="G917" s="295">
        <v>410920</v>
      </c>
      <c r="H917" s="40" t="s">
        <v>63</v>
      </c>
      <c r="I917" s="224"/>
      <c r="K917" s="12">
        <v>169940</v>
      </c>
    </row>
    <row r="918" spans="1:9" s="10" customFormat="1" ht="30" customHeight="1">
      <c r="A918" s="296"/>
      <c r="B918" s="260" t="s">
        <v>141</v>
      </c>
      <c r="C918" s="261"/>
      <c r="D918" s="262"/>
      <c r="E918" s="263"/>
      <c r="F918" s="263"/>
      <c r="G918" s="297">
        <f>SUM(G917:G917)</f>
        <v>410920</v>
      </c>
      <c r="H918" s="265"/>
      <c r="I918" s="224"/>
    </row>
    <row r="919" spans="1:13" ht="30" customHeight="1">
      <c r="A919" s="37">
        <v>616</v>
      </c>
      <c r="B919" s="38" t="s">
        <v>142</v>
      </c>
      <c r="C919" s="54" t="s">
        <v>143</v>
      </c>
      <c r="D919" s="40" t="s">
        <v>144</v>
      </c>
      <c r="E919" s="41" t="s">
        <v>145</v>
      </c>
      <c r="F919" s="56">
        <f>G919/4.143</f>
        <v>5120.444122616462</v>
      </c>
      <c r="G919" s="295">
        <v>21214</v>
      </c>
      <c r="H919" s="40" t="s">
        <v>63</v>
      </c>
      <c r="I919" s="224"/>
      <c r="K919" s="12">
        <f>6930+970</f>
        <v>7900</v>
      </c>
      <c r="L919" s="240">
        <f>F919-J919</f>
        <v>5120.444122616462</v>
      </c>
      <c r="M919" s="74">
        <f>G919-K919</f>
        <v>13314</v>
      </c>
    </row>
    <row r="920" spans="1:9" s="10" customFormat="1" ht="30" customHeight="1">
      <c r="A920" s="296"/>
      <c r="B920" s="260" t="s">
        <v>146</v>
      </c>
      <c r="C920" s="261"/>
      <c r="D920" s="262"/>
      <c r="E920" s="262"/>
      <c r="F920" s="262"/>
      <c r="G920" s="297">
        <f>G919</f>
        <v>21214</v>
      </c>
      <c r="H920" s="265"/>
      <c r="I920" s="224"/>
    </row>
    <row r="921" spans="1:9" ht="22.5" customHeight="1">
      <c r="A921" s="19"/>
      <c r="B921" s="208" t="s">
        <v>151</v>
      </c>
      <c r="C921" s="167"/>
      <c r="D921" s="168"/>
      <c r="E921" s="207"/>
      <c r="F921" s="170"/>
      <c r="G921" s="304"/>
      <c r="H921" s="171"/>
      <c r="I921" s="223"/>
    </row>
    <row r="922" spans="1:9" ht="22.5" customHeight="1">
      <c r="A922" s="19"/>
      <c r="B922" s="106" t="s">
        <v>152</v>
      </c>
      <c r="C922" s="107"/>
      <c r="D922" s="108" t="s">
        <v>153</v>
      </c>
      <c r="E922" s="109"/>
      <c r="F922" s="109"/>
      <c r="G922" s="304"/>
      <c r="H922" s="171"/>
      <c r="I922" s="223"/>
    </row>
    <row r="923" spans="1:9" s="8" customFormat="1" ht="22.5" customHeight="1">
      <c r="A923" s="19"/>
      <c r="B923" s="111"/>
      <c r="C923" s="9"/>
      <c r="D923" s="112" t="s">
        <v>154</v>
      </c>
      <c r="E923" s="113" t="s">
        <v>155</v>
      </c>
      <c r="F923" s="114"/>
      <c r="G923" s="304"/>
      <c r="H923" s="171"/>
      <c r="I923" s="223"/>
    </row>
    <row r="924" spans="1:9" s="8" customFormat="1" ht="22.5" customHeight="1">
      <c r="A924" s="19"/>
      <c r="B924" s="115" t="s">
        <v>156</v>
      </c>
      <c r="C924" s="116"/>
      <c r="D924" s="108" t="s">
        <v>157</v>
      </c>
      <c r="E924" s="109"/>
      <c r="F924" s="109"/>
      <c r="G924" s="304"/>
      <c r="H924" s="171"/>
      <c r="I924" s="223"/>
    </row>
    <row r="925" spans="1:9" ht="22.5" customHeight="1">
      <c r="A925" s="19"/>
      <c r="B925" s="111"/>
      <c r="C925" s="9"/>
      <c r="D925" s="112" t="s">
        <v>154</v>
      </c>
      <c r="E925" s="113"/>
      <c r="F925" s="114"/>
      <c r="G925" s="304"/>
      <c r="H925" s="8"/>
      <c r="I925" s="141"/>
    </row>
    <row r="926" spans="1:9" s="8" customFormat="1" ht="22.5" customHeight="1">
      <c r="A926" s="19"/>
      <c r="B926" s="115" t="s">
        <v>158</v>
      </c>
      <c r="C926" s="9"/>
      <c r="D926" s="9"/>
      <c r="E926" s="9"/>
      <c r="F926" s="9"/>
      <c r="G926" s="304"/>
      <c r="H926" s="171"/>
      <c r="I926" s="223"/>
    </row>
    <row r="927" spans="1:9" s="2" customFormat="1" ht="30" customHeight="1">
      <c r="A927" s="169"/>
      <c r="B927" s="229" t="s">
        <v>159</v>
      </c>
      <c r="C927" s="167"/>
      <c r="D927" s="291" t="s">
        <v>160</v>
      </c>
      <c r="E927" s="229"/>
      <c r="F927" s="170"/>
      <c r="G927" s="307"/>
      <c r="H927" s="171"/>
      <c r="I927" s="326"/>
    </row>
    <row r="928" spans="1:9" ht="22.5" customHeight="1">
      <c r="A928" s="19"/>
      <c r="B928" s="230" t="s">
        <v>161</v>
      </c>
      <c r="C928" s="167"/>
      <c r="D928" s="168"/>
      <c r="E928" s="207"/>
      <c r="F928" s="170"/>
      <c r="G928" s="304"/>
      <c r="H928" s="171"/>
      <c r="I928" s="223"/>
    </row>
    <row r="929" spans="1:9" ht="67.5" customHeight="1">
      <c r="A929" s="19"/>
      <c r="B929" s="8" t="s">
        <v>0</v>
      </c>
      <c r="C929" s="20"/>
      <c r="D929" s="21"/>
      <c r="E929" s="22"/>
      <c r="F929" s="23" t="s">
        <v>1</v>
      </c>
      <c r="G929" s="23"/>
      <c r="H929" s="21"/>
      <c r="I929" s="70"/>
    </row>
    <row r="930" spans="1:9" ht="45" customHeight="1">
      <c r="A930" s="317" t="s">
        <v>329</v>
      </c>
      <c r="B930" s="317"/>
      <c r="C930" s="317"/>
      <c r="D930" s="317"/>
      <c r="E930" s="317"/>
      <c r="F930" s="317"/>
      <c r="G930" s="317"/>
      <c r="H930" s="317"/>
      <c r="I930" s="317"/>
    </row>
    <row r="931" spans="1:9" s="7" customFormat="1" ht="29.25" customHeight="1" hidden="1">
      <c r="A931" s="35" t="s">
        <v>679</v>
      </c>
      <c r="B931" s="173"/>
      <c r="C931" s="173"/>
      <c r="D931" s="173"/>
      <c r="E931" s="173"/>
      <c r="F931" s="173"/>
      <c r="G931" s="173"/>
      <c r="H931" s="173"/>
      <c r="I931" s="173"/>
    </row>
    <row r="932" spans="3:9" ht="15" customHeight="1">
      <c r="C932" s="124"/>
      <c r="D932" s="125" t="s">
        <v>4</v>
      </c>
      <c r="E932" s="124"/>
      <c r="F932" s="124"/>
      <c r="G932" s="3"/>
      <c r="H932" s="16"/>
      <c r="I932" s="16"/>
    </row>
    <row r="933" ht="15" customHeight="1"/>
    <row r="934" spans="1:11" ht="15.75" customHeight="1">
      <c r="A934" s="26" t="s">
        <v>5</v>
      </c>
      <c r="B934" s="27" t="s">
        <v>6</v>
      </c>
      <c r="C934" s="28" t="s">
        <v>7</v>
      </c>
      <c r="D934" s="28" t="s">
        <v>249</v>
      </c>
      <c r="E934" s="28" t="s">
        <v>9</v>
      </c>
      <c r="F934" s="28" t="s">
        <v>10</v>
      </c>
      <c r="G934" s="28" t="s">
        <v>250</v>
      </c>
      <c r="H934" s="28" t="s">
        <v>251</v>
      </c>
      <c r="I934" s="28" t="s">
        <v>13</v>
      </c>
      <c r="J934" s="71"/>
      <c r="K934" s="71"/>
    </row>
    <row r="935" spans="1:9" ht="31.5" customHeight="1">
      <c r="A935" s="29"/>
      <c r="B935" s="30"/>
      <c r="C935" s="31"/>
      <c r="D935" s="31"/>
      <c r="E935" s="31"/>
      <c r="F935" s="31"/>
      <c r="G935" s="31"/>
      <c r="H935" s="31"/>
      <c r="I935" s="31"/>
    </row>
    <row r="936" spans="1:9" ht="37.5" customHeight="1">
      <c r="A936" s="32"/>
      <c r="B936" s="33"/>
      <c r="C936" s="34"/>
      <c r="D936" s="34"/>
      <c r="E936" s="34"/>
      <c r="F936" s="34"/>
      <c r="G936" s="34"/>
      <c r="H936" s="34"/>
      <c r="I936" s="34"/>
    </row>
    <row r="937" spans="1:9" ht="20.25" customHeight="1">
      <c r="A937" s="32">
        <v>1</v>
      </c>
      <c r="B937" s="33">
        <v>2</v>
      </c>
      <c r="C937" s="34">
        <v>3</v>
      </c>
      <c r="D937" s="34">
        <v>4</v>
      </c>
      <c r="E937" s="34">
        <v>5</v>
      </c>
      <c r="F937" s="34">
        <v>6</v>
      </c>
      <c r="G937" s="34">
        <v>7</v>
      </c>
      <c r="H937" s="34">
        <v>8</v>
      </c>
      <c r="I937" s="72">
        <v>9</v>
      </c>
    </row>
    <row r="938" spans="1:9" ht="30" customHeight="1">
      <c r="A938" s="37">
        <v>617</v>
      </c>
      <c r="B938" s="160" t="s">
        <v>330</v>
      </c>
      <c r="C938" s="39" t="s">
        <v>40</v>
      </c>
      <c r="D938" s="133" t="s">
        <v>17</v>
      </c>
      <c r="E938" s="41" t="s">
        <v>25</v>
      </c>
      <c r="F938" s="41">
        <v>4</v>
      </c>
      <c r="G938" s="53">
        <v>837.8</v>
      </c>
      <c r="H938" s="155" t="s">
        <v>19</v>
      </c>
      <c r="I938" s="73" t="s">
        <v>253</v>
      </c>
    </row>
    <row r="939" spans="1:9" ht="30" customHeight="1">
      <c r="A939" s="32">
        <v>618</v>
      </c>
      <c r="B939" s="134" t="s">
        <v>331</v>
      </c>
      <c r="C939" s="43" t="s">
        <v>332</v>
      </c>
      <c r="D939" s="133" t="s">
        <v>17</v>
      </c>
      <c r="E939" s="34" t="s">
        <v>25</v>
      </c>
      <c r="F939" s="34">
        <v>1</v>
      </c>
      <c r="G939" s="332">
        <v>2200</v>
      </c>
      <c r="H939" s="155" t="s">
        <v>19</v>
      </c>
      <c r="I939" s="100"/>
    </row>
    <row r="940" spans="1:9" ht="30" customHeight="1">
      <c r="A940" s="37">
        <v>619</v>
      </c>
      <c r="B940" s="134" t="s">
        <v>333</v>
      </c>
      <c r="C940" s="43" t="s">
        <v>334</v>
      </c>
      <c r="D940" s="133" t="s">
        <v>17</v>
      </c>
      <c r="E940" s="34" t="s">
        <v>25</v>
      </c>
      <c r="F940" s="34">
        <v>3</v>
      </c>
      <c r="G940" s="332">
        <v>825.78</v>
      </c>
      <c r="H940" s="155" t="s">
        <v>19</v>
      </c>
      <c r="I940" s="100"/>
    </row>
    <row r="941" spans="1:9" ht="30" customHeight="1">
      <c r="A941" s="32">
        <v>620</v>
      </c>
      <c r="B941" s="134" t="s">
        <v>335</v>
      </c>
      <c r="C941" s="43" t="s">
        <v>260</v>
      </c>
      <c r="D941" s="133" t="s">
        <v>17</v>
      </c>
      <c r="E941" s="34" t="s">
        <v>25</v>
      </c>
      <c r="F941" s="34">
        <v>1</v>
      </c>
      <c r="G941" s="332">
        <v>3500</v>
      </c>
      <c r="H941" s="155" t="s">
        <v>19</v>
      </c>
      <c r="I941" s="100"/>
    </row>
    <row r="942" spans="1:9" ht="30" customHeight="1">
      <c r="A942" s="37">
        <v>621</v>
      </c>
      <c r="B942" s="134" t="s">
        <v>336</v>
      </c>
      <c r="C942" s="43" t="s">
        <v>54</v>
      </c>
      <c r="D942" s="133" t="s">
        <v>17</v>
      </c>
      <c r="E942" s="34" t="s">
        <v>25</v>
      </c>
      <c r="F942" s="34">
        <v>5</v>
      </c>
      <c r="G942" s="332">
        <v>453.4</v>
      </c>
      <c r="H942" s="155" t="s">
        <v>19</v>
      </c>
      <c r="I942" s="100"/>
    </row>
    <row r="943" spans="1:9" ht="30" customHeight="1">
      <c r="A943" s="32">
        <v>622</v>
      </c>
      <c r="B943" s="134" t="s">
        <v>337</v>
      </c>
      <c r="C943" s="43" t="s">
        <v>56</v>
      </c>
      <c r="D943" s="133" t="s">
        <v>17</v>
      </c>
      <c r="E943" s="34" t="s">
        <v>25</v>
      </c>
      <c r="F943" s="34">
        <v>1</v>
      </c>
      <c r="G943" s="332">
        <v>1300</v>
      </c>
      <c r="H943" s="155" t="s">
        <v>19</v>
      </c>
      <c r="I943" s="100"/>
    </row>
    <row r="944" spans="1:9" ht="30" customHeight="1">
      <c r="A944" s="37">
        <v>623</v>
      </c>
      <c r="B944" s="134" t="s">
        <v>338</v>
      </c>
      <c r="C944" s="43" t="s">
        <v>339</v>
      </c>
      <c r="D944" s="43" t="s">
        <v>340</v>
      </c>
      <c r="E944" s="34" t="s">
        <v>25</v>
      </c>
      <c r="F944" s="34">
        <v>1</v>
      </c>
      <c r="G944" s="34">
        <v>184.97</v>
      </c>
      <c r="H944" s="155" t="s">
        <v>19</v>
      </c>
      <c r="I944" s="100"/>
    </row>
    <row r="945" spans="1:9" ht="30" customHeight="1">
      <c r="A945" s="32">
        <v>624</v>
      </c>
      <c r="B945" s="134" t="s">
        <v>341</v>
      </c>
      <c r="C945" s="43" t="s">
        <v>38</v>
      </c>
      <c r="D945" s="43" t="s">
        <v>340</v>
      </c>
      <c r="E945" s="34" t="s">
        <v>25</v>
      </c>
      <c r="F945" s="34">
        <v>2</v>
      </c>
      <c r="G945" s="34">
        <v>2160.8</v>
      </c>
      <c r="H945" s="155" t="s">
        <v>19</v>
      </c>
      <c r="I945" s="100"/>
    </row>
    <row r="946" spans="1:9" ht="30" customHeight="1">
      <c r="A946" s="37">
        <v>625</v>
      </c>
      <c r="B946" s="134" t="s">
        <v>342</v>
      </c>
      <c r="C946" s="43" t="s">
        <v>38</v>
      </c>
      <c r="D946" s="43" t="s">
        <v>340</v>
      </c>
      <c r="E946" s="34" t="s">
        <v>25</v>
      </c>
      <c r="F946" s="34">
        <v>2</v>
      </c>
      <c r="G946" s="34">
        <v>2520</v>
      </c>
      <c r="H946" s="155" t="s">
        <v>19</v>
      </c>
      <c r="I946" s="100"/>
    </row>
    <row r="947" spans="1:9" ht="30" customHeight="1">
      <c r="A947" s="32">
        <v>626</v>
      </c>
      <c r="B947" s="134" t="s">
        <v>343</v>
      </c>
      <c r="C947" s="43" t="s">
        <v>344</v>
      </c>
      <c r="D947" s="43" t="s">
        <v>340</v>
      </c>
      <c r="E947" s="34" t="s">
        <v>25</v>
      </c>
      <c r="F947" s="34">
        <v>3</v>
      </c>
      <c r="G947" s="34">
        <v>258</v>
      </c>
      <c r="H947" s="155" t="s">
        <v>19</v>
      </c>
      <c r="I947" s="100"/>
    </row>
    <row r="948" spans="1:9" ht="45" customHeight="1">
      <c r="A948" s="37">
        <v>627</v>
      </c>
      <c r="B948" s="134" t="s">
        <v>345</v>
      </c>
      <c r="C948" s="43" t="s">
        <v>346</v>
      </c>
      <c r="D948" s="43" t="s">
        <v>340</v>
      </c>
      <c r="E948" s="34" t="s">
        <v>34</v>
      </c>
      <c r="F948" s="34">
        <v>2</v>
      </c>
      <c r="G948" s="34">
        <v>1980</v>
      </c>
      <c r="H948" s="155" t="s">
        <v>19</v>
      </c>
      <c r="I948" s="100"/>
    </row>
    <row r="949" spans="1:15" ht="30" customHeight="1">
      <c r="A949" s="32">
        <v>628</v>
      </c>
      <c r="B949" s="160" t="s">
        <v>15</v>
      </c>
      <c r="C949" s="43" t="s">
        <v>347</v>
      </c>
      <c r="D949" s="43" t="s">
        <v>340</v>
      </c>
      <c r="E949" s="41" t="s">
        <v>18</v>
      </c>
      <c r="F949" s="41">
        <v>10</v>
      </c>
      <c r="G949" s="53">
        <v>2100</v>
      </c>
      <c r="H949" s="155" t="s">
        <v>19</v>
      </c>
      <c r="I949" s="100"/>
      <c r="L949" s="74">
        <f>G949-K949</f>
        <v>2100</v>
      </c>
      <c r="N949" s="12">
        <v>3</v>
      </c>
      <c r="O949" s="12">
        <v>780</v>
      </c>
    </row>
    <row r="950" spans="1:14" ht="30" customHeight="1">
      <c r="A950" s="37">
        <v>629</v>
      </c>
      <c r="B950" s="253" t="s">
        <v>348</v>
      </c>
      <c r="C950" s="43" t="s">
        <v>24</v>
      </c>
      <c r="D950" s="43" t="s">
        <v>340</v>
      </c>
      <c r="E950" s="41" t="s">
        <v>25</v>
      </c>
      <c r="F950" s="41">
        <v>2</v>
      </c>
      <c r="G950" s="53">
        <v>347.12</v>
      </c>
      <c r="H950" s="155" t="s">
        <v>19</v>
      </c>
      <c r="I950" s="100"/>
      <c r="L950" s="74">
        <f>G950-K950</f>
        <v>347.12</v>
      </c>
      <c r="M950" s="12">
        <v>20</v>
      </c>
      <c r="N950" s="12">
        <f>10960-8220</f>
        <v>2740</v>
      </c>
    </row>
    <row r="951" spans="1:14" ht="60" customHeight="1">
      <c r="A951" s="32">
        <v>630</v>
      </c>
      <c r="B951" s="253" t="s">
        <v>349</v>
      </c>
      <c r="C951" s="43" t="s">
        <v>21</v>
      </c>
      <c r="D951" s="43" t="s">
        <v>340</v>
      </c>
      <c r="E951" s="41" t="s">
        <v>25</v>
      </c>
      <c r="F951" s="41">
        <v>3</v>
      </c>
      <c r="G951" s="53">
        <v>1111.32</v>
      </c>
      <c r="H951" s="155" t="s">
        <v>19</v>
      </c>
      <c r="I951" s="100"/>
      <c r="L951" s="74">
        <f>G951-K951</f>
        <v>1111.32</v>
      </c>
      <c r="M951" s="12">
        <v>20</v>
      </c>
      <c r="N951" s="12">
        <f>10960-8220</f>
        <v>2740</v>
      </c>
    </row>
    <row r="952" spans="1:12" s="5" customFormat="1" ht="30" customHeight="1">
      <c r="A952" s="37">
        <v>631</v>
      </c>
      <c r="B952" s="254" t="s">
        <v>350</v>
      </c>
      <c r="C952" s="136" t="s">
        <v>27</v>
      </c>
      <c r="D952" s="43" t="s">
        <v>340</v>
      </c>
      <c r="E952" s="41" t="s">
        <v>25</v>
      </c>
      <c r="F952" s="41">
        <v>7</v>
      </c>
      <c r="G952" s="53">
        <v>415.45</v>
      </c>
      <c r="H952" s="155" t="s">
        <v>19</v>
      </c>
      <c r="I952" s="100"/>
      <c r="L952" s="165"/>
    </row>
    <row r="953" spans="1:12" s="5" customFormat="1" ht="30" customHeight="1">
      <c r="A953" s="32">
        <v>632</v>
      </c>
      <c r="B953" s="253" t="s">
        <v>351</v>
      </c>
      <c r="C953" s="136" t="s">
        <v>31</v>
      </c>
      <c r="D953" s="43" t="s">
        <v>340</v>
      </c>
      <c r="E953" s="41" t="s">
        <v>25</v>
      </c>
      <c r="F953" s="41">
        <v>3</v>
      </c>
      <c r="G953" s="53">
        <v>78.78</v>
      </c>
      <c r="H953" s="155" t="s">
        <v>19</v>
      </c>
      <c r="I953" s="100"/>
      <c r="L953" s="165"/>
    </row>
    <row r="954" spans="1:12" ht="30" customHeight="1">
      <c r="A954" s="37">
        <v>633</v>
      </c>
      <c r="B954" s="38" t="s">
        <v>57</v>
      </c>
      <c r="C954" s="40" t="s">
        <v>58</v>
      </c>
      <c r="D954" s="40" t="s">
        <v>17</v>
      </c>
      <c r="E954" s="41" t="s">
        <v>25</v>
      </c>
      <c r="F954" s="41">
        <v>1</v>
      </c>
      <c r="G954" s="53">
        <v>2500.2</v>
      </c>
      <c r="H954" s="155" t="s">
        <v>19</v>
      </c>
      <c r="I954" s="100"/>
      <c r="L954" s="74"/>
    </row>
    <row r="955" spans="1:12" ht="45" customHeight="1">
      <c r="A955" s="32">
        <v>634</v>
      </c>
      <c r="B955" s="253" t="s">
        <v>352</v>
      </c>
      <c r="C955" s="43" t="s">
        <v>27</v>
      </c>
      <c r="D955" s="43" t="s">
        <v>340</v>
      </c>
      <c r="E955" s="41" t="s">
        <v>25</v>
      </c>
      <c r="F955" s="41">
        <v>1</v>
      </c>
      <c r="G955" s="53">
        <v>176.38</v>
      </c>
      <c r="H955" s="255" t="s">
        <v>19</v>
      </c>
      <c r="I955" s="100"/>
      <c r="L955" s="74">
        <f>G955-K955</f>
        <v>176.38</v>
      </c>
    </row>
    <row r="956" spans="1:12" s="10" customFormat="1" ht="30" customHeight="1">
      <c r="A956" s="296"/>
      <c r="B956" s="308" t="s">
        <v>59</v>
      </c>
      <c r="C956" s="261"/>
      <c r="D956" s="262"/>
      <c r="E956" s="263"/>
      <c r="F956" s="263"/>
      <c r="G956" s="297">
        <f>SUM(G938:G955)</f>
        <v>22950</v>
      </c>
      <c r="H956" s="265"/>
      <c r="I956" s="31"/>
      <c r="K956" s="10">
        <f>SUM(K938:K955)</f>
        <v>0</v>
      </c>
      <c r="L956" s="267">
        <f>G956-K956</f>
        <v>22950</v>
      </c>
    </row>
    <row r="957" spans="1:12" ht="30" customHeight="1">
      <c r="A957" s="37">
        <v>635</v>
      </c>
      <c r="B957" s="38" t="s">
        <v>220</v>
      </c>
      <c r="C957" s="40" t="s">
        <v>221</v>
      </c>
      <c r="D957" s="40" t="s">
        <v>62</v>
      </c>
      <c r="E957" s="41" t="s">
        <v>34</v>
      </c>
      <c r="F957" s="69">
        <v>6</v>
      </c>
      <c r="G957" s="295">
        <v>80.4</v>
      </c>
      <c r="H957" s="255" t="s">
        <v>63</v>
      </c>
      <c r="I957" s="31"/>
      <c r="L957" s="74"/>
    </row>
    <row r="958" spans="1:12" ht="30" customHeight="1">
      <c r="A958" s="37">
        <v>636</v>
      </c>
      <c r="B958" s="38" t="s">
        <v>268</v>
      </c>
      <c r="C958" s="40" t="s">
        <v>70</v>
      </c>
      <c r="D958" s="40" t="s">
        <v>62</v>
      </c>
      <c r="E958" s="41" t="s">
        <v>34</v>
      </c>
      <c r="F958" s="69">
        <v>2</v>
      </c>
      <c r="G958" s="295">
        <v>40</v>
      </c>
      <c r="H958" s="255" t="s">
        <v>63</v>
      </c>
      <c r="I958" s="31"/>
      <c r="L958" s="74"/>
    </row>
    <row r="959" spans="1:12" ht="30" customHeight="1">
      <c r="A959" s="37">
        <v>637</v>
      </c>
      <c r="B959" s="38" t="s">
        <v>64</v>
      </c>
      <c r="C959" s="40" t="s">
        <v>65</v>
      </c>
      <c r="D959" s="40" t="s">
        <v>62</v>
      </c>
      <c r="E959" s="41" t="s">
        <v>34</v>
      </c>
      <c r="F959" s="69">
        <v>350</v>
      </c>
      <c r="G959" s="295">
        <v>5950</v>
      </c>
      <c r="H959" s="255" t="s">
        <v>63</v>
      </c>
      <c r="I959" s="31"/>
      <c r="L959" s="74"/>
    </row>
    <row r="960" spans="1:12" ht="30" customHeight="1">
      <c r="A960" s="37">
        <v>638</v>
      </c>
      <c r="B960" s="38" t="s">
        <v>71</v>
      </c>
      <c r="C960" s="71" t="s">
        <v>72</v>
      </c>
      <c r="D960" s="40" t="s">
        <v>62</v>
      </c>
      <c r="E960" s="41" t="s">
        <v>34</v>
      </c>
      <c r="F960" s="69">
        <v>30</v>
      </c>
      <c r="G960" s="295">
        <v>476</v>
      </c>
      <c r="H960" s="255" t="s">
        <v>63</v>
      </c>
      <c r="I960" s="31"/>
      <c r="L960" s="74"/>
    </row>
    <row r="961" spans="1:12" ht="45" customHeight="1">
      <c r="A961" s="37">
        <v>639</v>
      </c>
      <c r="B961" s="38" t="s">
        <v>73</v>
      </c>
      <c r="C961" s="40" t="s">
        <v>74</v>
      </c>
      <c r="D961" s="40" t="s">
        <v>62</v>
      </c>
      <c r="E961" s="41" t="s">
        <v>34</v>
      </c>
      <c r="F961" s="69">
        <v>15</v>
      </c>
      <c r="G961" s="295">
        <v>352</v>
      </c>
      <c r="H961" s="255" t="s">
        <v>63</v>
      </c>
      <c r="I961" s="31"/>
      <c r="L961" s="74"/>
    </row>
    <row r="962" spans="1:12" ht="30" customHeight="1">
      <c r="A962" s="37">
        <v>640</v>
      </c>
      <c r="B962" s="38" t="s">
        <v>78</v>
      </c>
      <c r="C962" s="40" t="s">
        <v>79</v>
      </c>
      <c r="D962" s="40" t="s">
        <v>62</v>
      </c>
      <c r="E962" s="41" t="s">
        <v>34</v>
      </c>
      <c r="F962" s="69">
        <v>12</v>
      </c>
      <c r="G962" s="295">
        <v>3693.9</v>
      </c>
      <c r="H962" s="255" t="s">
        <v>63</v>
      </c>
      <c r="I962" s="31"/>
      <c r="L962" s="74"/>
    </row>
    <row r="963" spans="1:12" ht="45" customHeight="1">
      <c r="A963" s="37">
        <v>641</v>
      </c>
      <c r="B963" s="38" t="s">
        <v>80</v>
      </c>
      <c r="C963" s="40" t="s">
        <v>81</v>
      </c>
      <c r="D963" s="40" t="s">
        <v>62</v>
      </c>
      <c r="E963" s="41" t="s">
        <v>82</v>
      </c>
      <c r="F963" s="69">
        <v>21.6</v>
      </c>
      <c r="G963" s="295">
        <v>876.96</v>
      </c>
      <c r="H963" s="255" t="s">
        <v>63</v>
      </c>
      <c r="I963" s="31"/>
      <c r="L963" s="74"/>
    </row>
    <row r="964" spans="1:12" ht="30" customHeight="1">
      <c r="A964" s="37">
        <v>642</v>
      </c>
      <c r="B964" s="38" t="s">
        <v>83</v>
      </c>
      <c r="C964" s="40" t="s">
        <v>72</v>
      </c>
      <c r="D964" s="40" t="s">
        <v>62</v>
      </c>
      <c r="E964" s="41" t="s">
        <v>34</v>
      </c>
      <c r="F964" s="69">
        <v>40</v>
      </c>
      <c r="G964" s="295">
        <v>1006</v>
      </c>
      <c r="H964" s="255" t="s">
        <v>63</v>
      </c>
      <c r="I964" s="31"/>
      <c r="L964" s="74"/>
    </row>
    <row r="965" spans="1:12" ht="45" customHeight="1">
      <c r="A965" s="37">
        <v>643</v>
      </c>
      <c r="B965" s="38" t="s">
        <v>84</v>
      </c>
      <c r="C965" s="40" t="s">
        <v>85</v>
      </c>
      <c r="D965" s="40" t="s">
        <v>62</v>
      </c>
      <c r="E965" s="41" t="s">
        <v>34</v>
      </c>
      <c r="F965" s="69">
        <v>21.7</v>
      </c>
      <c r="G965" s="295">
        <v>2549.94</v>
      </c>
      <c r="H965" s="255" t="s">
        <v>63</v>
      </c>
      <c r="I965" s="31"/>
      <c r="L965" s="74"/>
    </row>
    <row r="966" spans="1:12" ht="30" customHeight="1">
      <c r="A966" s="37">
        <v>644</v>
      </c>
      <c r="B966" s="38" t="s">
        <v>665</v>
      </c>
      <c r="C966" s="40" t="s">
        <v>666</v>
      </c>
      <c r="D966" s="40" t="s">
        <v>62</v>
      </c>
      <c r="E966" s="41" t="s">
        <v>34</v>
      </c>
      <c r="F966" s="69">
        <v>41</v>
      </c>
      <c r="G966" s="295">
        <v>5725.08</v>
      </c>
      <c r="H966" s="255" t="s">
        <v>63</v>
      </c>
      <c r="I966" s="31"/>
      <c r="L966" s="74"/>
    </row>
    <row r="967" spans="1:12" ht="30" customHeight="1">
      <c r="A967" s="37">
        <v>645</v>
      </c>
      <c r="B967" s="38" t="s">
        <v>88</v>
      </c>
      <c r="C967" s="40" t="s">
        <v>85</v>
      </c>
      <c r="D967" s="40" t="s">
        <v>62</v>
      </c>
      <c r="E967" s="41" t="s">
        <v>34</v>
      </c>
      <c r="F967" s="69">
        <v>15</v>
      </c>
      <c r="G967" s="295">
        <v>1862.5</v>
      </c>
      <c r="H967" s="255" t="s">
        <v>63</v>
      </c>
      <c r="I967" s="31"/>
      <c r="L967" s="74"/>
    </row>
    <row r="968" spans="1:12" ht="45" customHeight="1">
      <c r="A968" s="37">
        <v>646</v>
      </c>
      <c r="B968" s="38" t="s">
        <v>60</v>
      </c>
      <c r="C968" s="40" t="s">
        <v>61</v>
      </c>
      <c r="D968" s="40" t="s">
        <v>62</v>
      </c>
      <c r="E968" s="41" t="s">
        <v>34</v>
      </c>
      <c r="F968" s="69">
        <v>3.2</v>
      </c>
      <c r="G968" s="295">
        <v>139.52</v>
      </c>
      <c r="H968" s="255" t="s">
        <v>63</v>
      </c>
      <c r="I968" s="31"/>
      <c r="L968" s="74"/>
    </row>
    <row r="969" spans="1:12" ht="30" customHeight="1">
      <c r="A969" s="37">
        <v>647</v>
      </c>
      <c r="B969" s="38" t="s">
        <v>89</v>
      </c>
      <c r="C969" s="40" t="s">
        <v>90</v>
      </c>
      <c r="D969" s="40" t="s">
        <v>62</v>
      </c>
      <c r="E969" s="41" t="s">
        <v>34</v>
      </c>
      <c r="F969" s="69">
        <v>26</v>
      </c>
      <c r="G969" s="295">
        <v>1288.6</v>
      </c>
      <c r="H969" s="255" t="s">
        <v>63</v>
      </c>
      <c r="I969" s="31"/>
      <c r="L969" s="74"/>
    </row>
    <row r="970" spans="1:12" ht="30" customHeight="1">
      <c r="A970" s="37">
        <v>648</v>
      </c>
      <c r="B970" s="38" t="s">
        <v>91</v>
      </c>
      <c r="C970" s="40" t="s">
        <v>92</v>
      </c>
      <c r="D970" s="40" t="s">
        <v>62</v>
      </c>
      <c r="E970" s="41" t="s">
        <v>34</v>
      </c>
      <c r="F970" s="69">
        <v>38</v>
      </c>
      <c r="G970" s="295">
        <v>6352.3</v>
      </c>
      <c r="H970" s="255" t="s">
        <v>63</v>
      </c>
      <c r="I970" s="31"/>
      <c r="L970" s="74"/>
    </row>
    <row r="971" spans="1:12" ht="30" customHeight="1">
      <c r="A971" s="37">
        <v>649</v>
      </c>
      <c r="B971" s="38" t="s">
        <v>222</v>
      </c>
      <c r="C971" s="40" t="s">
        <v>223</v>
      </c>
      <c r="D971" s="40" t="s">
        <v>62</v>
      </c>
      <c r="E971" s="41" t="s">
        <v>34</v>
      </c>
      <c r="F971" s="69">
        <v>15</v>
      </c>
      <c r="G971" s="295">
        <v>292</v>
      </c>
      <c r="H971" s="255" t="s">
        <v>63</v>
      </c>
      <c r="I971" s="31"/>
      <c r="L971" s="74"/>
    </row>
    <row r="972" spans="1:12" ht="30" customHeight="1">
      <c r="A972" s="37">
        <v>650</v>
      </c>
      <c r="B972" s="38" t="s">
        <v>93</v>
      </c>
      <c r="C972" s="40" t="s">
        <v>94</v>
      </c>
      <c r="D972" s="40" t="s">
        <v>62</v>
      </c>
      <c r="E972" s="41" t="s">
        <v>34</v>
      </c>
      <c r="F972" s="69">
        <v>12.54</v>
      </c>
      <c r="G972" s="295">
        <v>1628.95</v>
      </c>
      <c r="H972" s="255" t="s">
        <v>63</v>
      </c>
      <c r="I972" s="31"/>
      <c r="L972" s="74"/>
    </row>
    <row r="973" spans="1:12" ht="30" customHeight="1">
      <c r="A973" s="37">
        <v>651</v>
      </c>
      <c r="B973" s="38" t="s">
        <v>224</v>
      </c>
      <c r="C973" s="40" t="s">
        <v>225</v>
      </c>
      <c r="D973" s="40" t="s">
        <v>62</v>
      </c>
      <c r="E973" s="41" t="s">
        <v>34</v>
      </c>
      <c r="F973" s="69">
        <v>6</v>
      </c>
      <c r="G973" s="295">
        <v>74.4</v>
      </c>
      <c r="H973" s="255" t="s">
        <v>63</v>
      </c>
      <c r="I973" s="31"/>
      <c r="L973" s="74"/>
    </row>
    <row r="974" spans="1:12" ht="30" customHeight="1">
      <c r="A974" s="37">
        <v>652</v>
      </c>
      <c r="B974" s="40" t="s">
        <v>226</v>
      </c>
      <c r="C974" s="40" t="s">
        <v>227</v>
      </c>
      <c r="D974" s="40" t="s">
        <v>62</v>
      </c>
      <c r="E974" s="41" t="s">
        <v>34</v>
      </c>
      <c r="F974" s="69">
        <v>3</v>
      </c>
      <c r="G974" s="295">
        <v>412.5</v>
      </c>
      <c r="H974" s="255" t="s">
        <v>63</v>
      </c>
      <c r="I974" s="31"/>
      <c r="L974" s="74"/>
    </row>
    <row r="975" spans="1:12" ht="30" customHeight="1">
      <c r="A975" s="37">
        <v>653</v>
      </c>
      <c r="B975" s="40" t="s">
        <v>276</v>
      </c>
      <c r="C975" s="40" t="s">
        <v>277</v>
      </c>
      <c r="D975" s="40" t="s">
        <v>62</v>
      </c>
      <c r="E975" s="41" t="s">
        <v>34</v>
      </c>
      <c r="F975" s="69">
        <v>4</v>
      </c>
      <c r="G975" s="295">
        <v>730.8</v>
      </c>
      <c r="H975" s="255" t="s">
        <v>63</v>
      </c>
      <c r="I975" s="31"/>
      <c r="L975" s="74"/>
    </row>
    <row r="976" spans="1:12" ht="30" customHeight="1">
      <c r="A976" s="37">
        <v>654</v>
      </c>
      <c r="B976" s="40" t="s">
        <v>95</v>
      </c>
      <c r="C976" s="40" t="s">
        <v>96</v>
      </c>
      <c r="D976" s="40" t="s">
        <v>62</v>
      </c>
      <c r="E976" s="41" t="s">
        <v>34</v>
      </c>
      <c r="F976" s="69">
        <v>25</v>
      </c>
      <c r="G976" s="295">
        <v>5033</v>
      </c>
      <c r="H976" s="255" t="s">
        <v>63</v>
      </c>
      <c r="I976" s="31"/>
      <c r="L976" s="74"/>
    </row>
    <row r="977" spans="1:12" ht="30" customHeight="1">
      <c r="A977" s="37">
        <v>655</v>
      </c>
      <c r="B977" s="40" t="s">
        <v>667</v>
      </c>
      <c r="C977" s="40" t="s">
        <v>668</v>
      </c>
      <c r="D977" s="40" t="s">
        <v>62</v>
      </c>
      <c r="E977" s="41" t="s">
        <v>34</v>
      </c>
      <c r="F977" s="69">
        <v>28</v>
      </c>
      <c r="G977" s="295">
        <v>6240</v>
      </c>
      <c r="H977" s="255" t="s">
        <v>63</v>
      </c>
      <c r="I977" s="31"/>
      <c r="L977" s="74"/>
    </row>
    <row r="978" spans="1:12" ht="45" customHeight="1">
      <c r="A978" s="37">
        <v>656</v>
      </c>
      <c r="B978" s="54" t="s">
        <v>98</v>
      </c>
      <c r="C978" s="40" t="s">
        <v>61</v>
      </c>
      <c r="D978" s="40" t="s">
        <v>62</v>
      </c>
      <c r="E978" s="41" t="s">
        <v>25</v>
      </c>
      <c r="F978" s="69">
        <v>225</v>
      </c>
      <c r="G978" s="295">
        <v>4584.58</v>
      </c>
      <c r="H978" s="255" t="s">
        <v>63</v>
      </c>
      <c r="I978" s="31"/>
      <c r="L978" s="74"/>
    </row>
    <row r="979" spans="1:12" ht="30" customHeight="1">
      <c r="A979" s="37">
        <v>657</v>
      </c>
      <c r="B979" s="40" t="s">
        <v>99</v>
      </c>
      <c r="C979" s="40" t="s">
        <v>100</v>
      </c>
      <c r="D979" s="40" t="s">
        <v>62</v>
      </c>
      <c r="E979" s="41" t="s">
        <v>34</v>
      </c>
      <c r="F979" s="69">
        <v>19</v>
      </c>
      <c r="G979" s="295">
        <v>5726.97</v>
      </c>
      <c r="H979" s="255" t="s">
        <v>63</v>
      </c>
      <c r="I979" s="31"/>
      <c r="L979" s="74"/>
    </row>
    <row r="980" spans="1:12" ht="30" customHeight="1">
      <c r="A980" s="37">
        <v>658</v>
      </c>
      <c r="B980" s="40" t="s">
        <v>101</v>
      </c>
      <c r="C980" s="40" t="s">
        <v>102</v>
      </c>
      <c r="D980" s="40" t="s">
        <v>62</v>
      </c>
      <c r="E980" s="41" t="s">
        <v>34</v>
      </c>
      <c r="F980" s="69">
        <v>0.1</v>
      </c>
      <c r="G980" s="295">
        <v>59.5</v>
      </c>
      <c r="H980" s="255" t="s">
        <v>63</v>
      </c>
      <c r="I980" s="31"/>
      <c r="L980" s="74"/>
    </row>
    <row r="981" spans="1:12" ht="30" customHeight="1">
      <c r="A981" s="37">
        <v>659</v>
      </c>
      <c r="B981" s="40" t="s">
        <v>228</v>
      </c>
      <c r="C981" s="40" t="s">
        <v>229</v>
      </c>
      <c r="D981" s="40" t="s">
        <v>62</v>
      </c>
      <c r="E981" s="41" t="s">
        <v>34</v>
      </c>
      <c r="F981" s="69">
        <v>60</v>
      </c>
      <c r="G981" s="295">
        <v>2626</v>
      </c>
      <c r="H981" s="255" t="s">
        <v>63</v>
      </c>
      <c r="I981" s="31"/>
      <c r="L981" s="74"/>
    </row>
    <row r="982" spans="1:12" ht="30" customHeight="1">
      <c r="A982" s="37">
        <v>660</v>
      </c>
      <c r="B982" s="40" t="s">
        <v>103</v>
      </c>
      <c r="C982" s="40" t="s">
        <v>104</v>
      </c>
      <c r="D982" s="40" t="s">
        <v>62</v>
      </c>
      <c r="E982" s="41" t="s">
        <v>25</v>
      </c>
      <c r="F982" s="69">
        <v>580</v>
      </c>
      <c r="G982" s="295">
        <v>2691.2</v>
      </c>
      <c r="H982" s="255" t="s">
        <v>63</v>
      </c>
      <c r="I982" s="31"/>
      <c r="L982" s="74"/>
    </row>
    <row r="983" spans="1:12" ht="30" customHeight="1">
      <c r="A983" s="37">
        <v>661</v>
      </c>
      <c r="B983" s="38" t="s">
        <v>105</v>
      </c>
      <c r="C983" s="40" t="s">
        <v>70</v>
      </c>
      <c r="D983" s="40" t="s">
        <v>62</v>
      </c>
      <c r="E983" s="41" t="s">
        <v>34</v>
      </c>
      <c r="F983" s="69">
        <v>21</v>
      </c>
      <c r="G983" s="295">
        <v>696.9</v>
      </c>
      <c r="H983" s="255" t="s">
        <v>63</v>
      </c>
      <c r="I983" s="31"/>
      <c r="L983" s="74"/>
    </row>
    <row r="984" spans="1:12" s="10" customFormat="1" ht="30" customHeight="1">
      <c r="A984" s="296"/>
      <c r="B984" s="308" t="s">
        <v>106</v>
      </c>
      <c r="C984" s="328"/>
      <c r="D984" s="263"/>
      <c r="E984" s="263"/>
      <c r="F984" s="263"/>
      <c r="G984" s="297">
        <f>SUM(G957:G983)</f>
        <v>61190.00000000001</v>
      </c>
      <c r="H984" s="265"/>
      <c r="I984" s="31"/>
      <c r="L984" s="267"/>
    </row>
    <row r="985" spans="1:9" ht="29.25" customHeight="1">
      <c r="A985" s="37">
        <v>662</v>
      </c>
      <c r="B985" s="160" t="s">
        <v>318</v>
      </c>
      <c r="C985" s="133" t="s">
        <v>108</v>
      </c>
      <c r="D985" s="133" t="s">
        <v>109</v>
      </c>
      <c r="E985" s="41" t="s">
        <v>110</v>
      </c>
      <c r="F985" s="41">
        <v>6</v>
      </c>
      <c r="G985" s="53">
        <v>566.4</v>
      </c>
      <c r="H985" s="255" t="s">
        <v>63</v>
      </c>
      <c r="I985" s="31"/>
    </row>
    <row r="986" spans="1:12" ht="29.25" customHeight="1">
      <c r="A986" s="37">
        <v>663</v>
      </c>
      <c r="B986" s="160" t="s">
        <v>111</v>
      </c>
      <c r="C986" s="133" t="s">
        <v>112</v>
      </c>
      <c r="D986" s="133" t="s">
        <v>109</v>
      </c>
      <c r="E986" s="41" t="s">
        <v>319</v>
      </c>
      <c r="F986" s="41">
        <v>2400</v>
      </c>
      <c r="G986" s="53">
        <v>2880</v>
      </c>
      <c r="H986" s="255" t="s">
        <v>63</v>
      </c>
      <c r="I986" s="31"/>
      <c r="K986" s="12">
        <v>700</v>
      </c>
      <c r="L986" s="74">
        <f aca="true" t="shared" si="13" ref="L986:L992">G986-K986</f>
        <v>2180</v>
      </c>
    </row>
    <row r="987" spans="1:12" ht="44.25" customHeight="1">
      <c r="A987" s="37">
        <v>664</v>
      </c>
      <c r="B987" s="160" t="s">
        <v>353</v>
      </c>
      <c r="C987" s="161" t="s">
        <v>242</v>
      </c>
      <c r="D987" s="133" t="s">
        <v>109</v>
      </c>
      <c r="E987" s="41" t="s">
        <v>25</v>
      </c>
      <c r="F987" s="41">
        <v>4</v>
      </c>
      <c r="G987" s="53">
        <v>650</v>
      </c>
      <c r="H987" s="255" t="s">
        <v>132</v>
      </c>
      <c r="I987" s="31"/>
      <c r="L987" s="74">
        <f t="shared" si="13"/>
        <v>650</v>
      </c>
    </row>
    <row r="988" spans="1:12" ht="45" customHeight="1">
      <c r="A988" s="37">
        <v>665</v>
      </c>
      <c r="B988" s="160" t="s">
        <v>118</v>
      </c>
      <c r="C988" s="161" t="s">
        <v>119</v>
      </c>
      <c r="D988" s="133" t="s">
        <v>109</v>
      </c>
      <c r="E988" s="41" t="s">
        <v>120</v>
      </c>
      <c r="F988" s="41" t="s">
        <v>121</v>
      </c>
      <c r="G988" s="53">
        <v>3591.48</v>
      </c>
      <c r="H988" s="255" t="s">
        <v>63</v>
      </c>
      <c r="I988" s="31"/>
      <c r="L988" s="74">
        <f t="shared" si="13"/>
        <v>3591.48</v>
      </c>
    </row>
    <row r="989" spans="1:12" ht="30" customHeight="1">
      <c r="A989" s="37">
        <v>666</v>
      </c>
      <c r="B989" s="160" t="s">
        <v>354</v>
      </c>
      <c r="C989" s="161" t="s">
        <v>131</v>
      </c>
      <c r="D989" s="133" t="s">
        <v>109</v>
      </c>
      <c r="E989" s="41" t="s">
        <v>113</v>
      </c>
      <c r="F989" s="41">
        <v>3</v>
      </c>
      <c r="G989" s="53">
        <v>756</v>
      </c>
      <c r="H989" s="255" t="s">
        <v>132</v>
      </c>
      <c r="I989" s="31"/>
      <c r="L989" s="74">
        <f t="shared" si="13"/>
        <v>756</v>
      </c>
    </row>
    <row r="990" spans="1:12" ht="30" customHeight="1">
      <c r="A990" s="37">
        <v>667</v>
      </c>
      <c r="B990" s="160" t="s">
        <v>321</v>
      </c>
      <c r="C990" s="161" t="s">
        <v>239</v>
      </c>
      <c r="D990" s="133" t="s">
        <v>109</v>
      </c>
      <c r="E990" s="41" t="s">
        <v>285</v>
      </c>
      <c r="F990" s="41">
        <v>2109.9</v>
      </c>
      <c r="G990" s="53">
        <v>5443.54</v>
      </c>
      <c r="H990" s="255" t="s">
        <v>19</v>
      </c>
      <c r="I990" s="31"/>
      <c r="L990" s="74">
        <f t="shared" si="13"/>
        <v>5443.54</v>
      </c>
    </row>
    <row r="991" spans="1:12" ht="30" customHeight="1">
      <c r="A991" s="37">
        <v>668</v>
      </c>
      <c r="B991" s="160" t="s">
        <v>115</v>
      </c>
      <c r="C991" s="133" t="s">
        <v>116</v>
      </c>
      <c r="D991" s="133" t="s">
        <v>109</v>
      </c>
      <c r="E991" s="41" t="s">
        <v>113</v>
      </c>
      <c r="F991" s="50" t="s">
        <v>117</v>
      </c>
      <c r="G991" s="53">
        <v>462</v>
      </c>
      <c r="H991" s="255" t="s">
        <v>63</v>
      </c>
      <c r="I991" s="31"/>
      <c r="K991" s="12">
        <f>154</f>
        <v>154</v>
      </c>
      <c r="L991" s="74">
        <f t="shared" si="13"/>
        <v>308</v>
      </c>
    </row>
    <row r="992" spans="1:13" ht="30" customHeight="1">
      <c r="A992" s="37">
        <v>669</v>
      </c>
      <c r="B992" s="160" t="s">
        <v>122</v>
      </c>
      <c r="C992" s="133" t="s">
        <v>123</v>
      </c>
      <c r="D992" s="133" t="s">
        <v>109</v>
      </c>
      <c r="E992" s="41" t="s">
        <v>113</v>
      </c>
      <c r="F992" s="41" t="s">
        <v>117</v>
      </c>
      <c r="G992" s="53">
        <v>2406</v>
      </c>
      <c r="H992" s="255" t="s">
        <v>63</v>
      </c>
      <c r="I992" s="31"/>
      <c r="K992" s="12">
        <f>801.4</f>
        <v>801.4</v>
      </c>
      <c r="L992" s="74">
        <f t="shared" si="13"/>
        <v>1604.6</v>
      </c>
      <c r="M992" s="12">
        <v>1412.88</v>
      </c>
    </row>
    <row r="993" spans="1:12" ht="30" customHeight="1">
      <c r="A993" s="37">
        <v>670</v>
      </c>
      <c r="B993" s="160" t="s">
        <v>320</v>
      </c>
      <c r="C993" s="133" t="s">
        <v>239</v>
      </c>
      <c r="D993" s="133" t="s">
        <v>109</v>
      </c>
      <c r="E993" s="41" t="s">
        <v>285</v>
      </c>
      <c r="F993" s="41">
        <v>330.6</v>
      </c>
      <c r="G993" s="53">
        <v>978.58</v>
      </c>
      <c r="H993" s="255" t="s">
        <v>19</v>
      </c>
      <c r="I993" s="31"/>
      <c r="L993" s="74"/>
    </row>
    <row r="994" spans="1:12" s="10" customFormat="1" ht="30" customHeight="1">
      <c r="A994" s="296"/>
      <c r="B994" s="308" t="s">
        <v>136</v>
      </c>
      <c r="C994" s="261"/>
      <c r="D994" s="262"/>
      <c r="E994" s="263"/>
      <c r="F994" s="263"/>
      <c r="G994" s="297">
        <f>SUM(G985:G993)</f>
        <v>17734</v>
      </c>
      <c r="H994" s="265"/>
      <c r="I994" s="31"/>
      <c r="K994" s="267">
        <f>SUM(K985:K993)</f>
        <v>1655.4</v>
      </c>
      <c r="L994" s="267" t="e">
        <f>SUM(#REF!)</f>
        <v>#REF!</v>
      </c>
    </row>
    <row r="995" spans="1:11" ht="30" customHeight="1">
      <c r="A995" s="37">
        <v>671</v>
      </c>
      <c r="B995" s="38" t="s">
        <v>137</v>
      </c>
      <c r="C995" s="52" t="s">
        <v>138</v>
      </c>
      <c r="D995" s="40" t="s">
        <v>139</v>
      </c>
      <c r="E995" s="41" t="s">
        <v>140</v>
      </c>
      <c r="F995" s="53">
        <f>G995/67.76</f>
        <v>5816.558441558441</v>
      </c>
      <c r="G995" s="295">
        <v>394130</v>
      </c>
      <c r="H995" s="40" t="s">
        <v>63</v>
      </c>
      <c r="I995" s="31"/>
      <c r="K995" s="12">
        <v>163000</v>
      </c>
    </row>
    <row r="996" spans="1:9" s="10" customFormat="1" ht="30" customHeight="1">
      <c r="A996" s="296"/>
      <c r="B996" s="260" t="s">
        <v>141</v>
      </c>
      <c r="C996" s="261"/>
      <c r="D996" s="262"/>
      <c r="E996" s="263"/>
      <c r="F996" s="263"/>
      <c r="G996" s="297">
        <f>SUM(G995:G995)</f>
        <v>394130</v>
      </c>
      <c r="H996" s="265"/>
      <c r="I996" s="31"/>
    </row>
    <row r="997" spans="1:11" ht="30" customHeight="1">
      <c r="A997" s="37">
        <v>672</v>
      </c>
      <c r="B997" s="38" t="s">
        <v>142</v>
      </c>
      <c r="C997" s="54" t="s">
        <v>143</v>
      </c>
      <c r="D997" s="40" t="s">
        <v>144</v>
      </c>
      <c r="E997" s="41" t="s">
        <v>145</v>
      </c>
      <c r="F997" s="56">
        <f>G997/4.14243</f>
        <v>5741.557491617239</v>
      </c>
      <c r="G997" s="295">
        <v>23784</v>
      </c>
      <c r="H997" s="40" t="s">
        <v>63</v>
      </c>
      <c r="I997" s="31"/>
      <c r="K997" s="12">
        <f>6830.42</f>
        <v>6830.42</v>
      </c>
    </row>
    <row r="998" spans="1:9" s="10" customFormat="1" ht="30" customHeight="1">
      <c r="A998" s="296"/>
      <c r="B998" s="260" t="s">
        <v>146</v>
      </c>
      <c r="C998" s="261"/>
      <c r="D998" s="262"/>
      <c r="E998" s="262"/>
      <c r="F998" s="262"/>
      <c r="G998" s="297">
        <f>G997</f>
        <v>23784</v>
      </c>
      <c r="H998" s="265"/>
      <c r="I998" s="31"/>
    </row>
    <row r="999" spans="1:9" ht="22.5" customHeight="1">
      <c r="A999" s="19"/>
      <c r="B999" s="208" t="s">
        <v>151</v>
      </c>
      <c r="C999" s="167"/>
      <c r="D999" s="168"/>
      <c r="E999" s="207"/>
      <c r="F999" s="170"/>
      <c r="G999" s="304"/>
      <c r="H999" s="171"/>
      <c r="I999" s="223"/>
    </row>
    <row r="1000" spans="1:9" ht="22.5" customHeight="1">
      <c r="A1000" s="19"/>
      <c r="B1000" s="106" t="s">
        <v>152</v>
      </c>
      <c r="C1000" s="107"/>
      <c r="D1000" s="108" t="s">
        <v>153</v>
      </c>
      <c r="E1000" s="109"/>
      <c r="F1000" s="109"/>
      <c r="G1000" s="304"/>
      <c r="H1000" s="171"/>
      <c r="I1000" s="223"/>
    </row>
    <row r="1001" spans="1:9" s="8" customFormat="1" ht="22.5" customHeight="1">
      <c r="A1001" s="19"/>
      <c r="B1001" s="111"/>
      <c r="C1001" s="9"/>
      <c r="D1001" s="112" t="s">
        <v>154</v>
      </c>
      <c r="E1001" s="113" t="s">
        <v>155</v>
      </c>
      <c r="F1001" s="114"/>
      <c r="G1001" s="304"/>
      <c r="H1001" s="171"/>
      <c r="I1001" s="223"/>
    </row>
    <row r="1002" spans="1:9" s="8" customFormat="1" ht="22.5" customHeight="1">
      <c r="A1002" s="19"/>
      <c r="B1002" s="115" t="s">
        <v>156</v>
      </c>
      <c r="C1002" s="116"/>
      <c r="D1002" s="108" t="s">
        <v>157</v>
      </c>
      <c r="E1002" s="109"/>
      <c r="F1002" s="109"/>
      <c r="G1002" s="304"/>
      <c r="H1002" s="171"/>
      <c r="I1002" s="223"/>
    </row>
    <row r="1003" spans="1:9" ht="22.5" customHeight="1">
      <c r="A1003" s="19"/>
      <c r="B1003" s="111"/>
      <c r="C1003" s="9"/>
      <c r="D1003" s="112" t="s">
        <v>154</v>
      </c>
      <c r="E1003" s="113"/>
      <c r="F1003" s="114"/>
      <c r="G1003" s="304"/>
      <c r="H1003" s="8"/>
      <c r="I1003" s="141"/>
    </row>
    <row r="1004" spans="1:9" s="8" customFormat="1" ht="22.5" customHeight="1">
      <c r="A1004" s="19"/>
      <c r="B1004" s="115" t="s">
        <v>158</v>
      </c>
      <c r="C1004" s="9"/>
      <c r="D1004" s="9"/>
      <c r="E1004" s="9"/>
      <c r="F1004" s="9"/>
      <c r="G1004" s="304"/>
      <c r="H1004" s="171"/>
      <c r="I1004" s="223"/>
    </row>
    <row r="1005" spans="1:9" s="2" customFormat="1" ht="30" customHeight="1">
      <c r="A1005" s="169"/>
      <c r="B1005" s="229" t="s">
        <v>159</v>
      </c>
      <c r="C1005" s="167"/>
      <c r="D1005" s="291" t="s">
        <v>160</v>
      </c>
      <c r="E1005" s="229"/>
      <c r="F1005" s="170"/>
      <c r="G1005" s="307"/>
      <c r="H1005" s="171"/>
      <c r="I1005" s="326"/>
    </row>
    <row r="1006" spans="1:9" ht="22.5" customHeight="1">
      <c r="A1006" s="19"/>
      <c r="B1006" s="230" t="s">
        <v>161</v>
      </c>
      <c r="C1006" s="167"/>
      <c r="D1006" s="168"/>
      <c r="E1006" s="207"/>
      <c r="F1006" s="170"/>
      <c r="G1006" s="304"/>
      <c r="H1006" s="171"/>
      <c r="I1006" s="223"/>
    </row>
    <row r="1007" spans="1:9" ht="67.5" customHeight="1">
      <c r="A1007" s="19"/>
      <c r="B1007" s="8" t="s">
        <v>0</v>
      </c>
      <c r="C1007" s="20"/>
      <c r="D1007" s="21"/>
      <c r="E1007" s="22"/>
      <c r="F1007" s="23" t="s">
        <v>1</v>
      </c>
      <c r="G1007" s="23"/>
      <c r="H1007" s="21"/>
      <c r="I1007" s="70"/>
    </row>
    <row r="1008" spans="1:9" ht="45" customHeight="1">
      <c r="A1008" s="317" t="s">
        <v>297</v>
      </c>
      <c r="B1008" s="317"/>
      <c r="C1008" s="317"/>
      <c r="D1008" s="317"/>
      <c r="E1008" s="317"/>
      <c r="F1008" s="317"/>
      <c r="G1008" s="317"/>
      <c r="H1008" s="317"/>
      <c r="I1008" s="317"/>
    </row>
    <row r="1009" spans="1:9" s="7" customFormat="1" ht="29.25" customHeight="1" hidden="1">
      <c r="A1009" s="35" t="s">
        <v>680</v>
      </c>
      <c r="B1009" s="173"/>
      <c r="C1009" s="173"/>
      <c r="D1009" s="173"/>
      <c r="E1009" s="173"/>
      <c r="F1009" s="173"/>
      <c r="G1009" s="173"/>
      <c r="H1009" s="173"/>
      <c r="I1009" s="173"/>
    </row>
    <row r="1010" spans="3:9" ht="15" customHeight="1">
      <c r="C1010" s="124"/>
      <c r="D1010" s="125" t="s">
        <v>4</v>
      </c>
      <c r="E1010" s="124"/>
      <c r="F1010" s="124"/>
      <c r="G1010" s="3"/>
      <c r="H1010" s="16"/>
      <c r="I1010" s="16"/>
    </row>
    <row r="1011" spans="5:6" ht="15" customHeight="1">
      <c r="E1011" s="3"/>
      <c r="F1011" s="3"/>
    </row>
    <row r="1012" spans="1:11" ht="15.75" customHeight="1">
      <c r="A1012" s="26" t="s">
        <v>5</v>
      </c>
      <c r="B1012" s="27" t="s">
        <v>6</v>
      </c>
      <c r="C1012" s="28" t="s">
        <v>7</v>
      </c>
      <c r="D1012" s="28" t="s">
        <v>249</v>
      </c>
      <c r="E1012" s="28" t="s">
        <v>9</v>
      </c>
      <c r="F1012" s="28" t="s">
        <v>10</v>
      </c>
      <c r="G1012" s="28" t="s">
        <v>250</v>
      </c>
      <c r="H1012" s="28" t="s">
        <v>251</v>
      </c>
      <c r="I1012" s="28" t="s">
        <v>13</v>
      </c>
      <c r="J1012" s="71"/>
      <c r="K1012" s="71"/>
    </row>
    <row r="1013" spans="1:9" ht="31.5" customHeight="1">
      <c r="A1013" s="29"/>
      <c r="B1013" s="30"/>
      <c r="C1013" s="31"/>
      <c r="D1013" s="31"/>
      <c r="E1013" s="31"/>
      <c r="F1013" s="31"/>
      <c r="G1013" s="31"/>
      <c r="H1013" s="31"/>
      <c r="I1013" s="31"/>
    </row>
    <row r="1014" spans="1:9" ht="37.5" customHeight="1">
      <c r="A1014" s="32"/>
      <c r="B1014" s="33"/>
      <c r="C1014" s="34"/>
      <c r="D1014" s="34"/>
      <c r="E1014" s="34"/>
      <c r="F1014" s="34"/>
      <c r="G1014" s="34"/>
      <c r="H1014" s="34"/>
      <c r="I1014" s="34"/>
    </row>
    <row r="1015" spans="1:15" ht="20.25" customHeight="1">
      <c r="A1015" s="32">
        <v>1</v>
      </c>
      <c r="B1015" s="33">
        <v>2</v>
      </c>
      <c r="C1015" s="34">
        <v>3</v>
      </c>
      <c r="D1015" s="34">
        <v>4</v>
      </c>
      <c r="E1015" s="34">
        <v>5</v>
      </c>
      <c r="F1015" s="34">
        <v>6</v>
      </c>
      <c r="G1015" s="34">
        <v>7</v>
      </c>
      <c r="H1015" s="34">
        <v>8</v>
      </c>
      <c r="I1015" s="72">
        <v>9</v>
      </c>
      <c r="O1015" s="12" t="s">
        <v>298</v>
      </c>
    </row>
    <row r="1016" spans="1:14" ht="30" customHeight="1">
      <c r="A1016" s="37">
        <v>673</v>
      </c>
      <c r="B1016" s="38" t="s">
        <v>299</v>
      </c>
      <c r="C1016" s="39" t="s">
        <v>300</v>
      </c>
      <c r="D1016" s="40" t="s">
        <v>17</v>
      </c>
      <c r="E1016" s="41" t="s">
        <v>18</v>
      </c>
      <c r="F1016" s="41">
        <v>15</v>
      </c>
      <c r="G1016" s="53">
        <v>3150</v>
      </c>
      <c r="H1016" s="40" t="s">
        <v>19</v>
      </c>
      <c r="I1016" s="73" t="s">
        <v>253</v>
      </c>
      <c r="J1016" s="12">
        <f>4</f>
        <v>4</v>
      </c>
      <c r="K1016" s="12">
        <f>1040</f>
        <v>1040</v>
      </c>
      <c r="L1016" s="74">
        <f>G1016-K1016</f>
        <v>2110</v>
      </c>
      <c r="M1016" s="12">
        <v>5</v>
      </c>
      <c r="N1016" s="12">
        <v>1300</v>
      </c>
    </row>
    <row r="1017" spans="1:12" ht="30" customHeight="1">
      <c r="A1017" s="37">
        <v>674</v>
      </c>
      <c r="B1017" s="94" t="s">
        <v>301</v>
      </c>
      <c r="C1017" s="43" t="s">
        <v>302</v>
      </c>
      <c r="D1017" s="40" t="s">
        <v>17</v>
      </c>
      <c r="E1017" s="41" t="s">
        <v>165</v>
      </c>
      <c r="F1017" s="41">
        <v>3</v>
      </c>
      <c r="G1017" s="53">
        <v>1110</v>
      </c>
      <c r="H1017" s="40" t="s">
        <v>19</v>
      </c>
      <c r="I1017" s="100"/>
      <c r="L1017" s="74"/>
    </row>
    <row r="1018" spans="1:12" ht="30" customHeight="1">
      <c r="A1018" s="37">
        <v>675</v>
      </c>
      <c r="B1018" s="256" t="s">
        <v>303</v>
      </c>
      <c r="C1018" s="43" t="s">
        <v>300</v>
      </c>
      <c r="D1018" s="40" t="s">
        <v>17</v>
      </c>
      <c r="E1018" s="41" t="s">
        <v>25</v>
      </c>
      <c r="F1018" s="41">
        <v>26</v>
      </c>
      <c r="G1018" s="53">
        <v>390</v>
      </c>
      <c r="H1018" s="40" t="s">
        <v>19</v>
      </c>
      <c r="I1018" s="100"/>
      <c r="J1018" s="12">
        <v>12</v>
      </c>
      <c r="K1018" s="12">
        <v>720</v>
      </c>
      <c r="L1018" s="74">
        <f>G1018-K1018</f>
        <v>-330</v>
      </c>
    </row>
    <row r="1019" spans="1:12" s="5" customFormat="1" ht="44.25" customHeight="1">
      <c r="A1019" s="37">
        <v>676</v>
      </c>
      <c r="B1019" s="256" t="s">
        <v>304</v>
      </c>
      <c r="C1019" s="43" t="s">
        <v>168</v>
      </c>
      <c r="D1019" s="40" t="s">
        <v>17</v>
      </c>
      <c r="E1019" s="41" t="s">
        <v>25</v>
      </c>
      <c r="F1019" s="41">
        <v>1</v>
      </c>
      <c r="G1019" s="53">
        <v>226.96</v>
      </c>
      <c r="H1019" s="40" t="s">
        <v>19</v>
      </c>
      <c r="I1019" s="100"/>
      <c r="L1019" s="165"/>
    </row>
    <row r="1020" spans="1:12" s="5" customFormat="1" ht="29.25" customHeight="1">
      <c r="A1020" s="37">
        <v>677</v>
      </c>
      <c r="B1020" s="256" t="s">
        <v>305</v>
      </c>
      <c r="C1020" s="43" t="s">
        <v>24</v>
      </c>
      <c r="D1020" s="40" t="s">
        <v>17</v>
      </c>
      <c r="E1020" s="41" t="s">
        <v>306</v>
      </c>
      <c r="F1020" s="41">
        <v>1</v>
      </c>
      <c r="G1020" s="53">
        <v>173</v>
      </c>
      <c r="H1020" s="40" t="s">
        <v>19</v>
      </c>
      <c r="I1020" s="100"/>
      <c r="L1020" s="165"/>
    </row>
    <row r="1021" spans="1:12" s="5" customFormat="1" ht="29.25" customHeight="1">
      <c r="A1021" s="37">
        <v>678</v>
      </c>
      <c r="B1021" s="256" t="s">
        <v>307</v>
      </c>
      <c r="C1021" s="43" t="s">
        <v>308</v>
      </c>
      <c r="D1021" s="40" t="s">
        <v>17</v>
      </c>
      <c r="E1021" s="41" t="s">
        <v>306</v>
      </c>
      <c r="F1021" s="41">
        <v>2</v>
      </c>
      <c r="G1021" s="53">
        <v>118</v>
      </c>
      <c r="H1021" s="40" t="s">
        <v>19</v>
      </c>
      <c r="I1021" s="100"/>
      <c r="L1021" s="165"/>
    </row>
    <row r="1022" spans="1:12" ht="45" customHeight="1">
      <c r="A1022" s="37">
        <v>679</v>
      </c>
      <c r="B1022" s="257" t="s">
        <v>289</v>
      </c>
      <c r="C1022" s="96" t="s">
        <v>308</v>
      </c>
      <c r="D1022" s="40" t="s">
        <v>17</v>
      </c>
      <c r="E1022" s="41" t="s">
        <v>25</v>
      </c>
      <c r="F1022" s="41">
        <v>3</v>
      </c>
      <c r="G1022" s="53">
        <v>526.14</v>
      </c>
      <c r="H1022" s="40" t="s">
        <v>19</v>
      </c>
      <c r="I1022" s="100"/>
      <c r="J1022" s="12">
        <v>45</v>
      </c>
      <c r="K1022" s="12">
        <v>1535.85</v>
      </c>
      <c r="L1022" s="74">
        <f>G1022-K1022</f>
        <v>-1009.7099999999999</v>
      </c>
    </row>
    <row r="1023" spans="1:9" s="5" customFormat="1" ht="45" customHeight="1">
      <c r="A1023" s="37">
        <v>680</v>
      </c>
      <c r="B1023" s="258" t="s">
        <v>309</v>
      </c>
      <c r="C1023" s="43" t="s">
        <v>310</v>
      </c>
      <c r="D1023" s="40" t="s">
        <v>17</v>
      </c>
      <c r="E1023" s="41" t="s">
        <v>25</v>
      </c>
      <c r="F1023" s="56">
        <v>1</v>
      </c>
      <c r="G1023" s="53">
        <v>990</v>
      </c>
      <c r="H1023" s="40" t="s">
        <v>19</v>
      </c>
      <c r="I1023" s="100"/>
    </row>
    <row r="1024" spans="1:9" s="5" customFormat="1" ht="30" customHeight="1">
      <c r="A1024" s="37">
        <v>681</v>
      </c>
      <c r="B1024" s="258" t="s">
        <v>257</v>
      </c>
      <c r="C1024" s="96" t="s">
        <v>311</v>
      </c>
      <c r="D1024" s="40" t="s">
        <v>17</v>
      </c>
      <c r="E1024" s="41" t="s">
        <v>193</v>
      </c>
      <c r="F1024" s="56">
        <v>52</v>
      </c>
      <c r="G1024" s="53">
        <v>6240</v>
      </c>
      <c r="H1024" s="40" t="s">
        <v>19</v>
      </c>
      <c r="I1024" s="100"/>
    </row>
    <row r="1025" spans="1:9" s="5" customFormat="1" ht="30" customHeight="1">
      <c r="A1025" s="37">
        <v>682</v>
      </c>
      <c r="B1025" s="258" t="s">
        <v>312</v>
      </c>
      <c r="C1025" s="96" t="s">
        <v>311</v>
      </c>
      <c r="D1025" s="40" t="s">
        <v>17</v>
      </c>
      <c r="E1025" s="41" t="s">
        <v>313</v>
      </c>
      <c r="F1025" s="56">
        <v>10</v>
      </c>
      <c r="G1025" s="53">
        <v>1000</v>
      </c>
      <c r="H1025" s="40" t="s">
        <v>19</v>
      </c>
      <c r="I1025" s="100"/>
    </row>
    <row r="1026" spans="1:9" s="5" customFormat="1" ht="30" customHeight="1">
      <c r="A1026" s="37">
        <v>683</v>
      </c>
      <c r="B1026" s="258" t="s">
        <v>314</v>
      </c>
      <c r="C1026" s="43" t="s">
        <v>179</v>
      </c>
      <c r="D1026" s="40" t="s">
        <v>17</v>
      </c>
      <c r="E1026" s="41" t="s">
        <v>25</v>
      </c>
      <c r="F1026" s="56">
        <v>3</v>
      </c>
      <c r="G1026" s="53">
        <v>157.5</v>
      </c>
      <c r="H1026" s="40" t="s">
        <v>19</v>
      </c>
      <c r="I1026" s="100"/>
    </row>
    <row r="1027" spans="1:9" s="5" customFormat="1" ht="30" customHeight="1">
      <c r="A1027" s="37">
        <v>684</v>
      </c>
      <c r="B1027" s="258" t="s">
        <v>315</v>
      </c>
      <c r="C1027" s="96" t="s">
        <v>52</v>
      </c>
      <c r="D1027" s="40" t="s">
        <v>17</v>
      </c>
      <c r="E1027" s="41" t="s">
        <v>25</v>
      </c>
      <c r="F1027" s="56">
        <v>20</v>
      </c>
      <c r="G1027" s="53">
        <v>398.2</v>
      </c>
      <c r="H1027" s="40" t="s">
        <v>19</v>
      </c>
      <c r="I1027" s="100"/>
    </row>
    <row r="1028" spans="1:9" s="5" customFormat="1" ht="30" customHeight="1">
      <c r="A1028" s="37">
        <v>685</v>
      </c>
      <c r="B1028" s="140" t="s">
        <v>316</v>
      </c>
      <c r="C1028" s="40" t="s">
        <v>294</v>
      </c>
      <c r="D1028" s="40" t="s">
        <v>17</v>
      </c>
      <c r="E1028" s="41" t="s">
        <v>25</v>
      </c>
      <c r="F1028" s="56">
        <v>4</v>
      </c>
      <c r="G1028" s="53">
        <v>5200</v>
      </c>
      <c r="H1028" s="40" t="s">
        <v>19</v>
      </c>
      <c r="I1028" s="100"/>
    </row>
    <row r="1029" spans="1:9" s="5" customFormat="1" ht="30" customHeight="1">
      <c r="A1029" s="37">
        <v>686</v>
      </c>
      <c r="B1029" s="259" t="s">
        <v>317</v>
      </c>
      <c r="C1029" s="137" t="s">
        <v>44</v>
      </c>
      <c r="D1029" s="40" t="s">
        <v>17</v>
      </c>
      <c r="E1029" s="41" t="s">
        <v>25</v>
      </c>
      <c r="F1029" s="56">
        <v>1</v>
      </c>
      <c r="G1029" s="53">
        <v>380</v>
      </c>
      <c r="H1029" s="40" t="s">
        <v>19</v>
      </c>
      <c r="I1029" s="100"/>
    </row>
    <row r="1030" spans="1:12" ht="30" customHeight="1">
      <c r="A1030" s="37">
        <v>687</v>
      </c>
      <c r="B1030" s="38" t="s">
        <v>57</v>
      </c>
      <c r="C1030" s="40" t="s">
        <v>58</v>
      </c>
      <c r="D1030" s="40" t="s">
        <v>17</v>
      </c>
      <c r="E1030" s="41" t="s">
        <v>25</v>
      </c>
      <c r="F1030" s="41">
        <v>1</v>
      </c>
      <c r="G1030" s="53">
        <v>2500.2</v>
      </c>
      <c r="H1030" s="155" t="s">
        <v>19</v>
      </c>
      <c r="I1030" s="100"/>
      <c r="L1030" s="74"/>
    </row>
    <row r="1031" spans="1:14" s="10" customFormat="1" ht="30" customHeight="1">
      <c r="A1031" s="296"/>
      <c r="B1031" s="260" t="s">
        <v>59</v>
      </c>
      <c r="C1031" s="261"/>
      <c r="D1031" s="262"/>
      <c r="E1031" s="263"/>
      <c r="F1031" s="263"/>
      <c r="G1031" s="333">
        <f>SUM(G1016:G1030)</f>
        <v>22560.000000000004</v>
      </c>
      <c r="H1031" s="265"/>
      <c r="I1031" s="100"/>
      <c r="K1031" s="10">
        <f>SUM(K1016:K1030)</f>
        <v>3295.85</v>
      </c>
      <c r="L1031" s="267">
        <f>G1031-K1031</f>
        <v>19264.150000000005</v>
      </c>
      <c r="M1031" s="10">
        <f>3085+15435.3+4080</f>
        <v>22600.3</v>
      </c>
      <c r="N1031" s="10">
        <f>K1031-M1031</f>
        <v>-19304.45</v>
      </c>
    </row>
    <row r="1032" spans="1:9" ht="29.25" customHeight="1">
      <c r="A1032" s="37">
        <v>688</v>
      </c>
      <c r="B1032" s="38" t="s">
        <v>318</v>
      </c>
      <c r="C1032" s="40" t="s">
        <v>108</v>
      </c>
      <c r="D1032" s="40" t="s">
        <v>109</v>
      </c>
      <c r="E1032" s="41" t="s">
        <v>110</v>
      </c>
      <c r="F1032" s="41">
        <v>1</v>
      </c>
      <c r="G1032" s="53">
        <v>94.4</v>
      </c>
      <c r="H1032" s="40" t="s">
        <v>63</v>
      </c>
      <c r="I1032" s="100"/>
    </row>
    <row r="1033" spans="1:12" ht="29.25" customHeight="1">
      <c r="A1033" s="37">
        <v>689</v>
      </c>
      <c r="B1033" s="38" t="s">
        <v>111</v>
      </c>
      <c r="C1033" s="40" t="s">
        <v>112</v>
      </c>
      <c r="D1033" s="40" t="s">
        <v>109</v>
      </c>
      <c r="E1033" s="41" t="s">
        <v>319</v>
      </c>
      <c r="F1033" s="41">
        <v>1200</v>
      </c>
      <c r="G1033" s="53">
        <v>2880</v>
      </c>
      <c r="H1033" s="40" t="s">
        <v>63</v>
      </c>
      <c r="I1033" s="100"/>
      <c r="K1033" s="12">
        <f>250+300</f>
        <v>550</v>
      </c>
      <c r="L1033" s="74">
        <f>G1033-K1033</f>
        <v>2330</v>
      </c>
    </row>
    <row r="1034" spans="1:12" ht="29.25" customHeight="1">
      <c r="A1034" s="37">
        <v>690</v>
      </c>
      <c r="B1034" s="38" t="s">
        <v>115</v>
      </c>
      <c r="C1034" s="40" t="s">
        <v>116</v>
      </c>
      <c r="D1034" s="40" t="s">
        <v>109</v>
      </c>
      <c r="E1034" s="41" t="s">
        <v>113</v>
      </c>
      <c r="F1034" s="50" t="s">
        <v>117</v>
      </c>
      <c r="G1034" s="53">
        <v>627</v>
      </c>
      <c r="H1034" s="40" t="s">
        <v>63</v>
      </c>
      <c r="I1034" s="100"/>
      <c r="K1034" s="12">
        <v>157.68</v>
      </c>
      <c r="L1034" s="74">
        <f>G1034-K1034</f>
        <v>469.32</v>
      </c>
    </row>
    <row r="1035" spans="1:12" ht="29.25" customHeight="1">
      <c r="A1035" s="37">
        <v>691</v>
      </c>
      <c r="B1035" s="38" t="s">
        <v>320</v>
      </c>
      <c r="C1035" s="40" t="s">
        <v>239</v>
      </c>
      <c r="D1035" s="40" t="s">
        <v>109</v>
      </c>
      <c r="E1035" s="41" t="s">
        <v>285</v>
      </c>
      <c r="F1035" s="41">
        <v>168</v>
      </c>
      <c r="G1035" s="53">
        <v>497.28</v>
      </c>
      <c r="H1035" s="40" t="s">
        <v>19</v>
      </c>
      <c r="I1035" s="100"/>
      <c r="L1035" s="74"/>
    </row>
    <row r="1036" spans="1:12" ht="29.25" customHeight="1">
      <c r="A1036" s="37">
        <v>692</v>
      </c>
      <c r="B1036" s="38" t="s">
        <v>321</v>
      </c>
      <c r="C1036" s="40" t="s">
        <v>239</v>
      </c>
      <c r="D1036" s="40" t="s">
        <v>109</v>
      </c>
      <c r="E1036" s="41" t="s">
        <v>285</v>
      </c>
      <c r="F1036" s="41">
        <v>968.2</v>
      </c>
      <c r="G1036" s="53">
        <v>2497.96</v>
      </c>
      <c r="H1036" s="40" t="s">
        <v>19</v>
      </c>
      <c r="I1036" s="100"/>
      <c r="K1036" s="12">
        <v>2995.24</v>
      </c>
      <c r="L1036" s="74">
        <f>G1036-K1036</f>
        <v>-497.27999999999975</v>
      </c>
    </row>
    <row r="1037" spans="1:12" ht="29.25" customHeight="1">
      <c r="A1037" s="37">
        <v>693</v>
      </c>
      <c r="B1037" s="38" t="s">
        <v>322</v>
      </c>
      <c r="C1037" s="40" t="s">
        <v>323</v>
      </c>
      <c r="D1037" s="40" t="s">
        <v>109</v>
      </c>
      <c r="E1037" s="41" t="s">
        <v>120</v>
      </c>
      <c r="F1037" s="41" t="s">
        <v>324</v>
      </c>
      <c r="G1037" s="53">
        <v>3809.36</v>
      </c>
      <c r="H1037" s="40" t="s">
        <v>63</v>
      </c>
      <c r="I1037" s="100"/>
      <c r="K1037" s="12">
        <f>767.29+671.87</f>
        <v>1439.1599999999999</v>
      </c>
      <c r="L1037" s="74">
        <f>G1037-K1037</f>
        <v>2370.2000000000003</v>
      </c>
    </row>
    <row r="1038" spans="1:13" ht="29.25" customHeight="1">
      <c r="A1038" s="37">
        <v>694</v>
      </c>
      <c r="B1038" s="38" t="s">
        <v>325</v>
      </c>
      <c r="C1038" s="40" t="s">
        <v>681</v>
      </c>
      <c r="D1038" s="40" t="s">
        <v>109</v>
      </c>
      <c r="E1038" s="41" t="s">
        <v>113</v>
      </c>
      <c r="F1038" s="41" t="s">
        <v>117</v>
      </c>
      <c r="G1038" s="53">
        <v>2406</v>
      </c>
      <c r="H1038" s="40" t="s">
        <v>63</v>
      </c>
      <c r="I1038" s="100"/>
      <c r="K1038" s="12">
        <v>470.96</v>
      </c>
      <c r="L1038" s="74">
        <f>G1038-K1038</f>
        <v>1935.04</v>
      </c>
      <c r="M1038" s="12">
        <v>1412.88</v>
      </c>
    </row>
    <row r="1039" spans="1:12" ht="45" customHeight="1">
      <c r="A1039" s="37">
        <v>695</v>
      </c>
      <c r="B1039" s="38" t="s">
        <v>128</v>
      </c>
      <c r="C1039" s="40" t="s">
        <v>129</v>
      </c>
      <c r="D1039" s="40" t="s">
        <v>109</v>
      </c>
      <c r="E1039" s="41" t="s">
        <v>25</v>
      </c>
      <c r="F1039" s="41">
        <v>1</v>
      </c>
      <c r="G1039" s="280">
        <v>57174</v>
      </c>
      <c r="H1039" s="155" t="s">
        <v>63</v>
      </c>
      <c r="I1039" s="100"/>
      <c r="L1039" s="74"/>
    </row>
    <row r="1040" spans="1:12" ht="45" customHeight="1">
      <c r="A1040" s="37">
        <v>696</v>
      </c>
      <c r="B1040" s="266" t="s">
        <v>327</v>
      </c>
      <c r="C1040" s="40" t="s">
        <v>328</v>
      </c>
      <c r="D1040" s="40" t="s">
        <v>109</v>
      </c>
      <c r="E1040" s="41" t="s">
        <v>25</v>
      </c>
      <c r="F1040" s="41">
        <v>4</v>
      </c>
      <c r="G1040" s="53">
        <v>650</v>
      </c>
      <c r="H1040" s="40" t="s">
        <v>132</v>
      </c>
      <c r="I1040" s="100"/>
      <c r="L1040" s="74"/>
    </row>
    <row r="1041" spans="1:12" ht="30" customHeight="1">
      <c r="A1041" s="37">
        <v>697</v>
      </c>
      <c r="B1041" s="38" t="s">
        <v>130</v>
      </c>
      <c r="C1041" s="40" t="s">
        <v>131</v>
      </c>
      <c r="D1041" s="40" t="s">
        <v>109</v>
      </c>
      <c r="E1041" s="41" t="s">
        <v>25</v>
      </c>
      <c r="F1041" s="41">
        <v>3</v>
      </c>
      <c r="G1041" s="53">
        <v>840</v>
      </c>
      <c r="H1041" s="40" t="s">
        <v>132</v>
      </c>
      <c r="I1041" s="100"/>
      <c r="K1041" s="12">
        <f>280+280+560+560</f>
        <v>1680</v>
      </c>
      <c r="L1041" s="74">
        <f>G1041-K1041</f>
        <v>-840</v>
      </c>
    </row>
    <row r="1042" spans="1:12" s="10" customFormat="1" ht="30" customHeight="1">
      <c r="A1042" s="296"/>
      <c r="B1042" s="260" t="s">
        <v>136</v>
      </c>
      <c r="C1042" s="261"/>
      <c r="D1042" s="262"/>
      <c r="E1042" s="263"/>
      <c r="F1042" s="263"/>
      <c r="G1042" s="333">
        <f>SUM(G1032:G1041)</f>
        <v>71476</v>
      </c>
      <c r="H1042" s="265"/>
      <c r="I1042" s="100"/>
      <c r="K1042" s="267">
        <f>SUM(K1032:K1041)</f>
        <v>7293.04</v>
      </c>
      <c r="L1042" s="267">
        <f>SUM(L1033:L1041)</f>
        <v>5767.280000000001</v>
      </c>
    </row>
    <row r="1043" spans="1:11" ht="30" customHeight="1">
      <c r="A1043" s="37">
        <v>698</v>
      </c>
      <c r="B1043" s="38" t="s">
        <v>137</v>
      </c>
      <c r="C1043" s="52" t="s">
        <v>138</v>
      </c>
      <c r="D1043" s="40" t="s">
        <v>139</v>
      </c>
      <c r="E1043" s="41" t="s">
        <v>140</v>
      </c>
      <c r="F1043" s="53">
        <f>G1043/67.76</f>
        <v>4279.073199527745</v>
      </c>
      <c r="G1043" s="295">
        <v>289950</v>
      </c>
      <c r="H1043" s="40" t="s">
        <v>63</v>
      </c>
      <c r="I1043" s="100"/>
      <c r="K1043" s="74">
        <f>119950</f>
        <v>119950</v>
      </c>
    </row>
    <row r="1044" spans="1:9" s="10" customFormat="1" ht="30" customHeight="1">
      <c r="A1044" s="296"/>
      <c r="B1044" s="260" t="s">
        <v>141</v>
      </c>
      <c r="C1044" s="261"/>
      <c r="D1044" s="262"/>
      <c r="E1044" s="263"/>
      <c r="F1044" s="263"/>
      <c r="G1044" s="297">
        <f>SUM(G1043:G1043)</f>
        <v>289950</v>
      </c>
      <c r="H1044" s="265"/>
      <c r="I1044" s="100"/>
    </row>
    <row r="1045" spans="1:9" ht="30" customHeight="1">
      <c r="A1045" s="37">
        <v>699</v>
      </c>
      <c r="B1045" s="38" t="s">
        <v>142</v>
      </c>
      <c r="C1045" s="54" t="s">
        <v>143</v>
      </c>
      <c r="D1045" s="40" t="s">
        <v>144</v>
      </c>
      <c r="E1045" s="41" t="s">
        <v>145</v>
      </c>
      <c r="F1045" s="56">
        <f>G1045/4.143</f>
        <v>2074.583635047067</v>
      </c>
      <c r="G1045" s="295">
        <v>8595</v>
      </c>
      <c r="H1045" s="40" t="s">
        <v>63</v>
      </c>
      <c r="I1045" s="100"/>
    </row>
    <row r="1046" spans="1:9" s="10" customFormat="1" ht="30" customHeight="1">
      <c r="A1046" s="296"/>
      <c r="B1046" s="260" t="s">
        <v>146</v>
      </c>
      <c r="C1046" s="261"/>
      <c r="D1046" s="262"/>
      <c r="E1046" s="263"/>
      <c r="F1046" s="263"/>
      <c r="G1046" s="297">
        <f>G1045</f>
        <v>8595</v>
      </c>
      <c r="H1046" s="265"/>
      <c r="I1046" s="100"/>
    </row>
    <row r="1047" spans="1:9" ht="22.5" customHeight="1">
      <c r="A1047" s="19"/>
      <c r="B1047" s="208" t="s">
        <v>151</v>
      </c>
      <c r="C1047" s="167"/>
      <c r="D1047" s="168"/>
      <c r="E1047" s="207"/>
      <c r="F1047" s="170"/>
      <c r="G1047" s="304"/>
      <c r="H1047" s="171"/>
      <c r="I1047" s="223"/>
    </row>
    <row r="1048" spans="1:9" ht="22.5" customHeight="1">
      <c r="A1048" s="19"/>
      <c r="B1048" s="106" t="s">
        <v>152</v>
      </c>
      <c r="C1048" s="107"/>
      <c r="D1048" s="108" t="s">
        <v>153</v>
      </c>
      <c r="E1048" s="109"/>
      <c r="F1048" s="109"/>
      <c r="G1048" s="304"/>
      <c r="H1048" s="171"/>
      <c r="I1048" s="223"/>
    </row>
    <row r="1049" spans="1:9" s="8" customFormat="1" ht="22.5" customHeight="1">
      <c r="A1049" s="19"/>
      <c r="B1049" s="111"/>
      <c r="C1049" s="9"/>
      <c r="D1049" s="112" t="s">
        <v>154</v>
      </c>
      <c r="E1049" s="113" t="s">
        <v>155</v>
      </c>
      <c r="F1049" s="114"/>
      <c r="G1049" s="304"/>
      <c r="H1049" s="171"/>
      <c r="I1049" s="223"/>
    </row>
    <row r="1050" spans="1:9" s="8" customFormat="1" ht="22.5" customHeight="1">
      <c r="A1050" s="19"/>
      <c r="B1050" s="115" t="s">
        <v>156</v>
      </c>
      <c r="C1050" s="116"/>
      <c r="D1050" s="108" t="s">
        <v>157</v>
      </c>
      <c r="E1050" s="109"/>
      <c r="F1050" s="109"/>
      <c r="G1050" s="304"/>
      <c r="H1050" s="171"/>
      <c r="I1050" s="223"/>
    </row>
    <row r="1051" spans="1:9" ht="22.5" customHeight="1">
      <c r="A1051" s="19"/>
      <c r="B1051" s="111"/>
      <c r="C1051" s="9"/>
      <c r="D1051" s="112" t="s">
        <v>154</v>
      </c>
      <c r="E1051" s="113"/>
      <c r="F1051" s="114"/>
      <c r="G1051" s="304"/>
      <c r="H1051" s="8"/>
      <c r="I1051" s="141"/>
    </row>
    <row r="1052" spans="1:9" s="8" customFormat="1" ht="22.5" customHeight="1">
      <c r="A1052" s="19"/>
      <c r="B1052" s="115" t="s">
        <v>158</v>
      </c>
      <c r="C1052" s="9"/>
      <c r="D1052" s="9"/>
      <c r="E1052" s="9"/>
      <c r="F1052" s="9"/>
      <c r="G1052" s="304"/>
      <c r="H1052" s="171"/>
      <c r="I1052" s="223"/>
    </row>
    <row r="1053" spans="1:9" s="2" customFormat="1" ht="30" customHeight="1">
      <c r="A1053" s="169"/>
      <c r="B1053" s="229" t="s">
        <v>159</v>
      </c>
      <c r="C1053" s="167"/>
      <c r="D1053" s="291" t="s">
        <v>160</v>
      </c>
      <c r="E1053" s="229"/>
      <c r="F1053" s="170"/>
      <c r="G1053" s="307"/>
      <c r="H1053" s="171"/>
      <c r="I1053" s="326"/>
    </row>
    <row r="1054" spans="1:9" ht="22.5" customHeight="1">
      <c r="A1054" s="19"/>
      <c r="B1054" s="230" t="s">
        <v>161</v>
      </c>
      <c r="C1054" s="167"/>
      <c r="D1054" s="168"/>
      <c r="E1054" s="207"/>
      <c r="F1054" s="170"/>
      <c r="G1054" s="304"/>
      <c r="H1054" s="171"/>
      <c r="I1054" s="223"/>
    </row>
    <row r="1055" spans="1:9" ht="67.5" customHeight="1">
      <c r="A1055" s="19"/>
      <c r="B1055" s="8" t="s">
        <v>0</v>
      </c>
      <c r="C1055" s="20"/>
      <c r="D1055" s="21"/>
      <c r="E1055" s="22"/>
      <c r="F1055" s="23" t="s">
        <v>1</v>
      </c>
      <c r="G1055" s="23"/>
      <c r="H1055" s="21"/>
      <c r="I1055" s="70"/>
    </row>
    <row r="1056" spans="1:9" ht="32.25" customHeight="1">
      <c r="A1056" s="317" t="s">
        <v>287</v>
      </c>
      <c r="B1056" s="317"/>
      <c r="C1056" s="317"/>
      <c r="D1056" s="317"/>
      <c r="E1056" s="317"/>
      <c r="F1056" s="317"/>
      <c r="G1056" s="317"/>
      <c r="H1056" s="317"/>
      <c r="I1056" s="317"/>
    </row>
    <row r="1057" spans="1:9" s="7" customFormat="1" ht="29.25" customHeight="1" hidden="1">
      <c r="A1057" s="35" t="s">
        <v>288</v>
      </c>
      <c r="B1057" s="173"/>
      <c r="C1057" s="173"/>
      <c r="D1057" s="173"/>
      <c r="E1057" s="173"/>
      <c r="F1057" s="173"/>
      <c r="G1057" s="173"/>
      <c r="H1057" s="173"/>
      <c r="I1057" s="173"/>
    </row>
    <row r="1058" spans="3:9" ht="15" customHeight="1">
      <c r="C1058" s="124"/>
      <c r="D1058" s="268" t="s">
        <v>4</v>
      </c>
      <c r="E1058" s="124"/>
      <c r="F1058" s="124"/>
      <c r="G1058" s="3"/>
      <c r="H1058" s="16"/>
      <c r="I1058" s="16"/>
    </row>
    <row r="1059" ht="15" customHeight="1"/>
    <row r="1060" spans="1:11" ht="15.75" customHeight="1">
      <c r="A1060" s="26" t="s">
        <v>5</v>
      </c>
      <c r="B1060" s="27" t="s">
        <v>6</v>
      </c>
      <c r="C1060" s="28" t="s">
        <v>7</v>
      </c>
      <c r="D1060" s="28" t="s">
        <v>249</v>
      </c>
      <c r="E1060" s="28" t="s">
        <v>9</v>
      </c>
      <c r="F1060" s="28" t="s">
        <v>10</v>
      </c>
      <c r="G1060" s="28" t="s">
        <v>250</v>
      </c>
      <c r="H1060" s="28" t="s">
        <v>251</v>
      </c>
      <c r="I1060" s="28" t="s">
        <v>13</v>
      </c>
      <c r="J1060" s="71"/>
      <c r="K1060" s="71"/>
    </row>
    <row r="1061" spans="1:9" ht="31.5" customHeight="1">
      <c r="A1061" s="29"/>
      <c r="B1061" s="30"/>
      <c r="C1061" s="31"/>
      <c r="D1061" s="31"/>
      <c r="E1061" s="31"/>
      <c r="F1061" s="31"/>
      <c r="G1061" s="31"/>
      <c r="H1061" s="31"/>
      <c r="I1061" s="31"/>
    </row>
    <row r="1062" spans="1:9" ht="37.5" customHeight="1">
      <c r="A1062" s="32"/>
      <c r="B1062" s="33"/>
      <c r="C1062" s="34"/>
      <c r="D1062" s="34"/>
      <c r="E1062" s="34"/>
      <c r="F1062" s="34"/>
      <c r="G1062" s="34"/>
      <c r="H1062" s="34"/>
      <c r="I1062" s="34"/>
    </row>
    <row r="1063" spans="1:9" ht="20.25" customHeight="1">
      <c r="A1063" s="32">
        <v>1</v>
      </c>
      <c r="B1063" s="33">
        <v>2</v>
      </c>
      <c r="C1063" s="34">
        <v>3</v>
      </c>
      <c r="D1063" s="34">
        <v>4</v>
      </c>
      <c r="E1063" s="34">
        <v>5</v>
      </c>
      <c r="F1063" s="34">
        <v>6</v>
      </c>
      <c r="G1063" s="34">
        <v>7</v>
      </c>
      <c r="H1063" s="34">
        <v>8</v>
      </c>
      <c r="I1063" s="72">
        <v>9</v>
      </c>
    </row>
    <row r="1064" spans="1:12" s="11" customFormat="1" ht="30" customHeight="1">
      <c r="A1064" s="269">
        <v>700</v>
      </c>
      <c r="B1064" s="270" t="s">
        <v>15</v>
      </c>
      <c r="C1064" s="137" t="s">
        <v>16</v>
      </c>
      <c r="D1064" s="137" t="s">
        <v>17</v>
      </c>
      <c r="E1064" s="138" t="s">
        <v>18</v>
      </c>
      <c r="F1064" s="138">
        <v>9</v>
      </c>
      <c r="G1064" s="272">
        <v>1890</v>
      </c>
      <c r="H1064" s="137" t="s">
        <v>19</v>
      </c>
      <c r="I1064" s="224" t="s">
        <v>253</v>
      </c>
      <c r="L1064" s="275">
        <f>G1064-K1064</f>
        <v>1890</v>
      </c>
    </row>
    <row r="1065" spans="1:12" s="11" customFormat="1" ht="30" customHeight="1">
      <c r="A1065" s="269">
        <v>701</v>
      </c>
      <c r="B1065" s="174" t="s">
        <v>23</v>
      </c>
      <c r="C1065" s="137" t="s">
        <v>24</v>
      </c>
      <c r="D1065" s="137" t="s">
        <v>17</v>
      </c>
      <c r="E1065" s="138" t="s">
        <v>25</v>
      </c>
      <c r="F1065" s="138">
        <v>2</v>
      </c>
      <c r="G1065" s="272">
        <v>348.9</v>
      </c>
      <c r="H1065" s="137" t="s">
        <v>19</v>
      </c>
      <c r="I1065" s="224"/>
      <c r="L1065" s="275"/>
    </row>
    <row r="1066" spans="1:12" s="11" customFormat="1" ht="45" customHeight="1">
      <c r="A1066" s="269">
        <v>702</v>
      </c>
      <c r="B1066" s="257" t="s">
        <v>289</v>
      </c>
      <c r="C1066" s="137" t="s">
        <v>27</v>
      </c>
      <c r="D1066" s="137" t="s">
        <v>17</v>
      </c>
      <c r="E1066" s="138" t="s">
        <v>25</v>
      </c>
      <c r="F1066" s="138">
        <v>4</v>
      </c>
      <c r="G1066" s="272">
        <v>703.52</v>
      </c>
      <c r="H1066" s="137" t="s">
        <v>19</v>
      </c>
      <c r="I1066" s="224"/>
      <c r="L1066" s="275"/>
    </row>
    <row r="1067" spans="1:12" s="11" customFormat="1" ht="30" customHeight="1">
      <c r="A1067" s="269">
        <v>703</v>
      </c>
      <c r="B1067" s="174" t="s">
        <v>290</v>
      </c>
      <c r="C1067" s="137" t="s">
        <v>24</v>
      </c>
      <c r="D1067" s="137" t="s">
        <v>17</v>
      </c>
      <c r="E1067" s="138" t="s">
        <v>22</v>
      </c>
      <c r="F1067" s="138">
        <v>2</v>
      </c>
      <c r="G1067" s="272">
        <v>96.92</v>
      </c>
      <c r="H1067" s="137" t="s">
        <v>19</v>
      </c>
      <c r="I1067" s="224"/>
      <c r="L1067" s="275"/>
    </row>
    <row r="1068" spans="1:12" s="11" customFormat="1" ht="30" customHeight="1">
      <c r="A1068" s="269">
        <v>704</v>
      </c>
      <c r="B1068" s="214" t="s">
        <v>291</v>
      </c>
      <c r="C1068" s="137" t="s">
        <v>24</v>
      </c>
      <c r="D1068" s="137" t="s">
        <v>17</v>
      </c>
      <c r="E1068" s="138" t="s">
        <v>22</v>
      </c>
      <c r="F1068" s="138">
        <v>2</v>
      </c>
      <c r="G1068" s="272">
        <v>70.36</v>
      </c>
      <c r="H1068" s="137" t="s">
        <v>19</v>
      </c>
      <c r="I1068" s="224"/>
      <c r="L1068" s="275"/>
    </row>
    <row r="1069" spans="1:12" s="11" customFormat="1" ht="45" customHeight="1">
      <c r="A1069" s="269">
        <v>705</v>
      </c>
      <c r="B1069" s="174" t="s">
        <v>292</v>
      </c>
      <c r="C1069" s="137" t="s">
        <v>47</v>
      </c>
      <c r="D1069" s="137" t="s">
        <v>17</v>
      </c>
      <c r="E1069" s="138" t="s">
        <v>25</v>
      </c>
      <c r="F1069" s="138">
        <v>10</v>
      </c>
      <c r="G1069" s="272">
        <v>550.1</v>
      </c>
      <c r="H1069" s="137" t="s">
        <v>19</v>
      </c>
      <c r="I1069" s="224"/>
      <c r="L1069" s="275"/>
    </row>
    <row r="1070" spans="1:12" s="11" customFormat="1" ht="30" customHeight="1">
      <c r="A1070" s="269">
        <v>706</v>
      </c>
      <c r="B1070" s="174" t="s">
        <v>293</v>
      </c>
      <c r="C1070" s="270" t="s">
        <v>294</v>
      </c>
      <c r="D1070" s="137" t="s">
        <v>17</v>
      </c>
      <c r="E1070" s="138" t="s">
        <v>25</v>
      </c>
      <c r="F1070" s="138">
        <v>9</v>
      </c>
      <c r="G1070" s="272">
        <v>10800</v>
      </c>
      <c r="H1070" s="137" t="s">
        <v>19</v>
      </c>
      <c r="I1070" s="224"/>
      <c r="L1070" s="275"/>
    </row>
    <row r="1071" spans="1:12" s="11" customFormat="1" ht="30" customHeight="1">
      <c r="A1071" s="269">
        <v>707</v>
      </c>
      <c r="B1071" s="174" t="s">
        <v>257</v>
      </c>
      <c r="C1071" s="270" t="s">
        <v>33</v>
      </c>
      <c r="D1071" s="137" t="s">
        <v>17</v>
      </c>
      <c r="E1071" s="138" t="s">
        <v>193</v>
      </c>
      <c r="F1071" s="138">
        <v>126</v>
      </c>
      <c r="G1071" s="272">
        <v>15120</v>
      </c>
      <c r="H1071" s="137" t="s">
        <v>19</v>
      </c>
      <c r="I1071" s="224"/>
      <c r="L1071" s="275"/>
    </row>
    <row r="1072" spans="1:12" ht="30" customHeight="1">
      <c r="A1072" s="269">
        <v>708</v>
      </c>
      <c r="B1072" s="38" t="s">
        <v>57</v>
      </c>
      <c r="C1072" s="40" t="s">
        <v>58</v>
      </c>
      <c r="D1072" s="40" t="s">
        <v>17</v>
      </c>
      <c r="E1072" s="41" t="s">
        <v>25</v>
      </c>
      <c r="F1072" s="41">
        <v>1</v>
      </c>
      <c r="G1072" s="42">
        <v>2500.2</v>
      </c>
      <c r="H1072" s="155" t="s">
        <v>19</v>
      </c>
      <c r="I1072" s="224"/>
      <c r="L1072" s="74"/>
    </row>
    <row r="1073" spans="1:14" s="10" customFormat="1" ht="30" customHeight="1">
      <c r="A1073" s="296"/>
      <c r="B1073" s="260" t="s">
        <v>59</v>
      </c>
      <c r="C1073" s="261"/>
      <c r="D1073" s="262"/>
      <c r="E1073" s="263"/>
      <c r="F1073" s="263"/>
      <c r="G1073" s="297">
        <f>SUM(G1064:G1072)</f>
        <v>32080</v>
      </c>
      <c r="H1073" s="265"/>
      <c r="I1073" s="224"/>
      <c r="K1073" s="267">
        <f>SUM(K1064:K1072)</f>
        <v>0</v>
      </c>
      <c r="L1073" s="267">
        <f>G1073-K1073</f>
        <v>32080</v>
      </c>
      <c r="N1073" s="267">
        <f>K1073-M1073</f>
        <v>0</v>
      </c>
    </row>
    <row r="1074" spans="1:14" ht="30" customHeight="1">
      <c r="A1074" s="37">
        <v>709</v>
      </c>
      <c r="B1074" s="38" t="s">
        <v>268</v>
      </c>
      <c r="C1074" s="40" t="s">
        <v>70</v>
      </c>
      <c r="D1074" s="40" t="s">
        <v>62</v>
      </c>
      <c r="E1074" s="41" t="s">
        <v>34</v>
      </c>
      <c r="F1074" s="69">
        <v>2</v>
      </c>
      <c r="G1074" s="295">
        <v>40</v>
      </c>
      <c r="H1074" s="137" t="s">
        <v>63</v>
      </c>
      <c r="I1074" s="224"/>
      <c r="K1074" s="74"/>
      <c r="L1074" s="74"/>
      <c r="N1074" s="74"/>
    </row>
    <row r="1075" spans="1:14" ht="30" customHeight="1">
      <c r="A1075" s="37">
        <v>710</v>
      </c>
      <c r="B1075" s="38" t="s">
        <v>216</v>
      </c>
      <c r="C1075" s="40" t="s">
        <v>217</v>
      </c>
      <c r="D1075" s="40" t="s">
        <v>62</v>
      </c>
      <c r="E1075" s="41" t="s">
        <v>34</v>
      </c>
      <c r="F1075" s="69">
        <v>5</v>
      </c>
      <c r="G1075" s="295">
        <v>104.5</v>
      </c>
      <c r="H1075" s="137" t="s">
        <v>63</v>
      </c>
      <c r="I1075" s="224"/>
      <c r="K1075" s="74"/>
      <c r="L1075" s="74"/>
      <c r="N1075" s="74"/>
    </row>
    <row r="1076" spans="1:14" ht="30" customHeight="1">
      <c r="A1076" s="37">
        <v>711</v>
      </c>
      <c r="B1076" s="38" t="s">
        <v>64</v>
      </c>
      <c r="C1076" s="40" t="s">
        <v>65</v>
      </c>
      <c r="D1076" s="40" t="s">
        <v>62</v>
      </c>
      <c r="E1076" s="41" t="s">
        <v>34</v>
      </c>
      <c r="F1076" s="69">
        <v>300</v>
      </c>
      <c r="G1076" s="295">
        <v>5110</v>
      </c>
      <c r="H1076" s="137" t="s">
        <v>63</v>
      </c>
      <c r="I1076" s="224"/>
      <c r="K1076" s="74"/>
      <c r="L1076" s="74"/>
      <c r="N1076" s="74"/>
    </row>
    <row r="1077" spans="1:14" ht="30" customHeight="1">
      <c r="A1077" s="37">
        <v>712</v>
      </c>
      <c r="B1077" s="38" t="s">
        <v>71</v>
      </c>
      <c r="C1077" s="71" t="s">
        <v>72</v>
      </c>
      <c r="D1077" s="40" t="s">
        <v>62</v>
      </c>
      <c r="E1077" s="41" t="s">
        <v>34</v>
      </c>
      <c r="F1077" s="69">
        <v>25</v>
      </c>
      <c r="G1077" s="295">
        <v>399.5</v>
      </c>
      <c r="H1077" s="137" t="s">
        <v>63</v>
      </c>
      <c r="I1077" s="224"/>
      <c r="K1077" s="74"/>
      <c r="L1077" s="74"/>
      <c r="N1077" s="74"/>
    </row>
    <row r="1078" spans="1:14" ht="45" customHeight="1">
      <c r="A1078" s="37">
        <v>713</v>
      </c>
      <c r="B1078" s="38" t="s">
        <v>73</v>
      </c>
      <c r="C1078" s="40" t="s">
        <v>74</v>
      </c>
      <c r="D1078" s="40" t="s">
        <v>62</v>
      </c>
      <c r="E1078" s="41" t="s">
        <v>34</v>
      </c>
      <c r="F1078" s="69">
        <v>20</v>
      </c>
      <c r="G1078" s="295">
        <v>469.8</v>
      </c>
      <c r="H1078" s="137" t="s">
        <v>63</v>
      </c>
      <c r="I1078" s="224"/>
      <c r="K1078" s="74"/>
      <c r="L1078" s="74"/>
      <c r="N1078" s="74"/>
    </row>
    <row r="1079" spans="1:14" ht="30" customHeight="1">
      <c r="A1079" s="37">
        <v>714</v>
      </c>
      <c r="B1079" s="38" t="s">
        <v>75</v>
      </c>
      <c r="C1079" s="71" t="s">
        <v>76</v>
      </c>
      <c r="D1079" s="40" t="s">
        <v>62</v>
      </c>
      <c r="E1079" s="41" t="s">
        <v>77</v>
      </c>
      <c r="F1079" s="69">
        <v>10</v>
      </c>
      <c r="G1079" s="295">
        <v>751.5</v>
      </c>
      <c r="H1079" s="137" t="s">
        <v>63</v>
      </c>
      <c r="I1079" s="224"/>
      <c r="K1079" s="74"/>
      <c r="L1079" s="74"/>
      <c r="N1079" s="74"/>
    </row>
    <row r="1080" spans="1:14" ht="30" customHeight="1">
      <c r="A1080" s="37">
        <v>715</v>
      </c>
      <c r="B1080" s="38" t="s">
        <v>78</v>
      </c>
      <c r="C1080" s="40" t="s">
        <v>79</v>
      </c>
      <c r="D1080" s="40" t="s">
        <v>62</v>
      </c>
      <c r="E1080" s="41" t="s">
        <v>34</v>
      </c>
      <c r="F1080" s="69">
        <v>14</v>
      </c>
      <c r="G1080" s="295">
        <v>4309.1</v>
      </c>
      <c r="H1080" s="137" t="s">
        <v>63</v>
      </c>
      <c r="I1080" s="224"/>
      <c r="K1080" s="74"/>
      <c r="L1080" s="74"/>
      <c r="N1080" s="74"/>
    </row>
    <row r="1081" spans="1:14" ht="45" customHeight="1">
      <c r="A1081" s="37">
        <v>716</v>
      </c>
      <c r="B1081" s="38" t="s">
        <v>80</v>
      </c>
      <c r="C1081" s="40" t="s">
        <v>81</v>
      </c>
      <c r="D1081" s="40" t="s">
        <v>62</v>
      </c>
      <c r="E1081" s="41" t="s">
        <v>82</v>
      </c>
      <c r="F1081" s="69">
        <v>18.9</v>
      </c>
      <c r="G1081" s="295">
        <v>766.62</v>
      </c>
      <c r="H1081" s="137" t="s">
        <v>63</v>
      </c>
      <c r="I1081" s="224"/>
      <c r="K1081" s="74"/>
      <c r="L1081" s="74"/>
      <c r="N1081" s="74"/>
    </row>
    <row r="1082" spans="1:14" ht="30" customHeight="1">
      <c r="A1082" s="37">
        <v>717</v>
      </c>
      <c r="B1082" s="38" t="s">
        <v>83</v>
      </c>
      <c r="C1082" s="40" t="s">
        <v>72</v>
      </c>
      <c r="D1082" s="40" t="s">
        <v>62</v>
      </c>
      <c r="E1082" s="41" t="s">
        <v>34</v>
      </c>
      <c r="F1082" s="69">
        <v>29</v>
      </c>
      <c r="G1082" s="295">
        <v>756.3</v>
      </c>
      <c r="H1082" s="137" t="s">
        <v>63</v>
      </c>
      <c r="I1082" s="224"/>
      <c r="K1082" s="74"/>
      <c r="L1082" s="74"/>
      <c r="N1082" s="74"/>
    </row>
    <row r="1083" spans="1:14" ht="30" customHeight="1">
      <c r="A1083" s="37">
        <v>718</v>
      </c>
      <c r="B1083" s="38" t="s">
        <v>665</v>
      </c>
      <c r="C1083" s="40" t="s">
        <v>666</v>
      </c>
      <c r="D1083" s="40" t="s">
        <v>62</v>
      </c>
      <c r="E1083" s="41" t="s">
        <v>34</v>
      </c>
      <c r="F1083" s="69">
        <v>65</v>
      </c>
      <c r="G1083" s="295">
        <v>8307</v>
      </c>
      <c r="H1083" s="137" t="s">
        <v>63</v>
      </c>
      <c r="I1083" s="224"/>
      <c r="K1083" s="74"/>
      <c r="L1083" s="74"/>
      <c r="N1083" s="74"/>
    </row>
    <row r="1084" spans="1:14" ht="30" customHeight="1">
      <c r="A1084" s="37">
        <v>719</v>
      </c>
      <c r="B1084" s="38" t="s">
        <v>88</v>
      </c>
      <c r="C1084" s="40" t="s">
        <v>85</v>
      </c>
      <c r="D1084" s="40" t="s">
        <v>62</v>
      </c>
      <c r="E1084" s="41" t="s">
        <v>34</v>
      </c>
      <c r="F1084" s="69">
        <v>15</v>
      </c>
      <c r="G1084" s="295">
        <v>1862.5</v>
      </c>
      <c r="H1084" s="137" t="s">
        <v>63</v>
      </c>
      <c r="I1084" s="224"/>
      <c r="K1084" s="74"/>
      <c r="L1084" s="74"/>
      <c r="N1084" s="74"/>
    </row>
    <row r="1085" spans="1:14" ht="30" customHeight="1">
      <c r="A1085" s="37">
        <v>720</v>
      </c>
      <c r="B1085" s="38" t="s">
        <v>89</v>
      </c>
      <c r="C1085" s="40" t="s">
        <v>90</v>
      </c>
      <c r="D1085" s="40" t="s">
        <v>62</v>
      </c>
      <c r="E1085" s="41" t="s">
        <v>34</v>
      </c>
      <c r="F1085" s="69">
        <v>25</v>
      </c>
      <c r="G1085" s="295">
        <v>1239.5</v>
      </c>
      <c r="H1085" s="137" t="s">
        <v>63</v>
      </c>
      <c r="I1085" s="224"/>
      <c r="K1085" s="74"/>
      <c r="L1085" s="74"/>
      <c r="N1085" s="74"/>
    </row>
    <row r="1086" spans="1:14" ht="30" customHeight="1">
      <c r="A1086" s="37">
        <v>721</v>
      </c>
      <c r="B1086" s="38" t="s">
        <v>91</v>
      </c>
      <c r="C1086" s="40" t="s">
        <v>92</v>
      </c>
      <c r="D1086" s="40" t="s">
        <v>62</v>
      </c>
      <c r="E1086" s="41" t="s">
        <v>34</v>
      </c>
      <c r="F1086" s="69">
        <v>55</v>
      </c>
      <c r="G1086" s="295">
        <v>9195</v>
      </c>
      <c r="H1086" s="137" t="s">
        <v>63</v>
      </c>
      <c r="I1086" s="224"/>
      <c r="K1086" s="74"/>
      <c r="L1086" s="74"/>
      <c r="N1086" s="74"/>
    </row>
    <row r="1087" spans="1:14" ht="30" customHeight="1">
      <c r="A1087" s="37">
        <v>722</v>
      </c>
      <c r="B1087" s="38" t="s">
        <v>274</v>
      </c>
      <c r="C1087" s="40" t="s">
        <v>275</v>
      </c>
      <c r="D1087" s="40" t="s">
        <v>62</v>
      </c>
      <c r="E1087" s="41" t="s">
        <v>34</v>
      </c>
      <c r="F1087" s="69">
        <v>50</v>
      </c>
      <c r="G1087" s="295">
        <v>1800</v>
      </c>
      <c r="H1087" s="137" t="s">
        <v>63</v>
      </c>
      <c r="I1087" s="224"/>
      <c r="K1087" s="74"/>
      <c r="L1087" s="74"/>
      <c r="N1087" s="74"/>
    </row>
    <row r="1088" spans="1:14" ht="30" customHeight="1">
      <c r="A1088" s="37">
        <v>723</v>
      </c>
      <c r="B1088" s="38" t="s">
        <v>222</v>
      </c>
      <c r="C1088" s="40" t="s">
        <v>223</v>
      </c>
      <c r="D1088" s="40" t="s">
        <v>62</v>
      </c>
      <c r="E1088" s="41" t="s">
        <v>34</v>
      </c>
      <c r="F1088" s="69">
        <v>15</v>
      </c>
      <c r="G1088" s="295">
        <v>292</v>
      </c>
      <c r="H1088" s="137" t="s">
        <v>63</v>
      </c>
      <c r="I1088" s="224"/>
      <c r="K1088" s="74"/>
      <c r="L1088" s="74"/>
      <c r="N1088" s="74"/>
    </row>
    <row r="1089" spans="1:14" ht="30" customHeight="1">
      <c r="A1089" s="37">
        <v>724</v>
      </c>
      <c r="B1089" s="38" t="s">
        <v>93</v>
      </c>
      <c r="C1089" s="40" t="s">
        <v>94</v>
      </c>
      <c r="D1089" s="40" t="s">
        <v>62</v>
      </c>
      <c r="E1089" s="41" t="s">
        <v>34</v>
      </c>
      <c r="F1089" s="69">
        <v>7</v>
      </c>
      <c r="G1089" s="295">
        <v>787.89</v>
      </c>
      <c r="H1089" s="137" t="s">
        <v>63</v>
      </c>
      <c r="I1089" s="224"/>
      <c r="K1089" s="74"/>
      <c r="L1089" s="74"/>
      <c r="N1089" s="74"/>
    </row>
    <row r="1090" spans="1:14" ht="30" customHeight="1">
      <c r="A1090" s="37">
        <v>725</v>
      </c>
      <c r="B1090" s="38" t="s">
        <v>224</v>
      </c>
      <c r="C1090" s="40" t="s">
        <v>225</v>
      </c>
      <c r="D1090" s="40" t="s">
        <v>62</v>
      </c>
      <c r="E1090" s="41" t="s">
        <v>34</v>
      </c>
      <c r="F1090" s="69">
        <v>5</v>
      </c>
      <c r="G1090" s="295">
        <v>62</v>
      </c>
      <c r="H1090" s="137" t="s">
        <v>63</v>
      </c>
      <c r="I1090" s="224"/>
      <c r="K1090" s="74"/>
      <c r="L1090" s="74"/>
      <c r="N1090" s="74"/>
    </row>
    <row r="1091" spans="1:14" ht="30" customHeight="1">
      <c r="A1091" s="37">
        <v>726</v>
      </c>
      <c r="B1091" s="40" t="s">
        <v>95</v>
      </c>
      <c r="C1091" s="40" t="s">
        <v>96</v>
      </c>
      <c r="D1091" s="40" t="s">
        <v>62</v>
      </c>
      <c r="E1091" s="41" t="s">
        <v>34</v>
      </c>
      <c r="F1091" s="69">
        <v>40</v>
      </c>
      <c r="G1091" s="295">
        <v>8207</v>
      </c>
      <c r="H1091" s="137" t="s">
        <v>63</v>
      </c>
      <c r="I1091" s="224"/>
      <c r="K1091" s="74"/>
      <c r="L1091" s="74"/>
      <c r="N1091" s="74"/>
    </row>
    <row r="1092" spans="1:14" ht="30" customHeight="1">
      <c r="A1092" s="37">
        <v>727</v>
      </c>
      <c r="B1092" s="40" t="s">
        <v>667</v>
      </c>
      <c r="C1092" s="40" t="s">
        <v>668</v>
      </c>
      <c r="D1092" s="40" t="s">
        <v>62</v>
      </c>
      <c r="E1092" s="41" t="s">
        <v>34</v>
      </c>
      <c r="F1092" s="69">
        <v>63</v>
      </c>
      <c r="G1092" s="295">
        <v>14490</v>
      </c>
      <c r="H1092" s="137" t="s">
        <v>63</v>
      </c>
      <c r="I1092" s="224"/>
      <c r="K1092" s="74"/>
      <c r="L1092" s="74"/>
      <c r="N1092" s="74"/>
    </row>
    <row r="1093" spans="1:14" ht="45" customHeight="1">
      <c r="A1093" s="37">
        <v>728</v>
      </c>
      <c r="B1093" s="54" t="s">
        <v>98</v>
      </c>
      <c r="C1093" s="40" t="s">
        <v>61</v>
      </c>
      <c r="D1093" s="40" t="s">
        <v>62</v>
      </c>
      <c r="E1093" s="41" t="s">
        <v>25</v>
      </c>
      <c r="F1093" s="69">
        <v>300</v>
      </c>
      <c r="G1093" s="295">
        <v>3817.15</v>
      </c>
      <c r="H1093" s="137" t="s">
        <v>63</v>
      </c>
      <c r="I1093" s="224"/>
      <c r="K1093" s="74"/>
      <c r="L1093" s="74"/>
      <c r="N1093" s="74"/>
    </row>
    <row r="1094" spans="1:14" ht="30" customHeight="1">
      <c r="A1094" s="37">
        <v>729</v>
      </c>
      <c r="B1094" s="40" t="s">
        <v>99</v>
      </c>
      <c r="C1094" s="40" t="s">
        <v>100</v>
      </c>
      <c r="D1094" s="40" t="s">
        <v>62</v>
      </c>
      <c r="E1094" s="41" t="s">
        <v>34</v>
      </c>
      <c r="F1094" s="69">
        <v>27</v>
      </c>
      <c r="G1094" s="295">
        <v>8204.94</v>
      </c>
      <c r="H1094" s="137" t="s">
        <v>63</v>
      </c>
      <c r="I1094" s="224"/>
      <c r="K1094" s="74"/>
      <c r="L1094" s="74"/>
      <c r="N1094" s="74"/>
    </row>
    <row r="1095" spans="1:14" ht="30" customHeight="1">
      <c r="A1095" s="37">
        <v>730</v>
      </c>
      <c r="B1095" s="40" t="s">
        <v>101</v>
      </c>
      <c r="C1095" s="40" t="s">
        <v>102</v>
      </c>
      <c r="D1095" s="40" t="s">
        <v>62</v>
      </c>
      <c r="E1095" s="41" t="s">
        <v>34</v>
      </c>
      <c r="F1095" s="69">
        <v>1</v>
      </c>
      <c r="G1095" s="295">
        <v>595</v>
      </c>
      <c r="H1095" s="137" t="s">
        <v>63</v>
      </c>
      <c r="I1095" s="224"/>
      <c r="K1095" s="74"/>
      <c r="L1095" s="74"/>
      <c r="N1095" s="74"/>
    </row>
    <row r="1096" spans="1:14" ht="30" customHeight="1">
      <c r="A1096" s="37">
        <v>731</v>
      </c>
      <c r="B1096" s="40" t="s">
        <v>228</v>
      </c>
      <c r="C1096" s="40" t="s">
        <v>229</v>
      </c>
      <c r="D1096" s="40" t="s">
        <v>62</v>
      </c>
      <c r="E1096" s="41" t="s">
        <v>34</v>
      </c>
      <c r="F1096" s="69">
        <v>70</v>
      </c>
      <c r="G1096" s="295">
        <v>2992</v>
      </c>
      <c r="H1096" s="137" t="s">
        <v>63</v>
      </c>
      <c r="I1096" s="224"/>
      <c r="K1096" s="74"/>
      <c r="L1096" s="74"/>
      <c r="N1096" s="74"/>
    </row>
    <row r="1097" spans="1:14" ht="30" customHeight="1">
      <c r="A1097" s="37">
        <v>732</v>
      </c>
      <c r="B1097" s="40" t="s">
        <v>103</v>
      </c>
      <c r="C1097" s="40" t="s">
        <v>104</v>
      </c>
      <c r="D1097" s="40" t="s">
        <v>62</v>
      </c>
      <c r="E1097" s="41" t="s">
        <v>25</v>
      </c>
      <c r="F1097" s="69">
        <v>700</v>
      </c>
      <c r="G1097" s="295">
        <v>3248</v>
      </c>
      <c r="H1097" s="137" t="s">
        <v>63</v>
      </c>
      <c r="I1097" s="224"/>
      <c r="K1097" s="74"/>
      <c r="L1097" s="74"/>
      <c r="N1097" s="74"/>
    </row>
    <row r="1098" spans="1:14" ht="45" customHeight="1">
      <c r="A1098" s="37">
        <v>733</v>
      </c>
      <c r="B1098" s="38" t="s">
        <v>60</v>
      </c>
      <c r="C1098" s="40" t="s">
        <v>61</v>
      </c>
      <c r="D1098" s="40" t="s">
        <v>62</v>
      </c>
      <c r="E1098" s="41" t="s">
        <v>34</v>
      </c>
      <c r="F1098" s="69">
        <v>4</v>
      </c>
      <c r="G1098" s="295">
        <v>174.4</v>
      </c>
      <c r="H1098" s="137" t="s">
        <v>63</v>
      </c>
      <c r="I1098" s="224"/>
      <c r="K1098" s="74"/>
      <c r="L1098" s="74"/>
      <c r="N1098" s="74"/>
    </row>
    <row r="1099" spans="1:14" ht="30" customHeight="1">
      <c r="A1099" s="37">
        <v>734</v>
      </c>
      <c r="B1099" s="38" t="s">
        <v>105</v>
      </c>
      <c r="C1099" s="40" t="s">
        <v>70</v>
      </c>
      <c r="D1099" s="40" t="s">
        <v>62</v>
      </c>
      <c r="E1099" s="41" t="s">
        <v>34</v>
      </c>
      <c r="F1099" s="69">
        <v>27</v>
      </c>
      <c r="G1099" s="295">
        <v>898.3</v>
      </c>
      <c r="H1099" s="137" t="s">
        <v>63</v>
      </c>
      <c r="I1099" s="224"/>
      <c r="K1099" s="74"/>
      <c r="L1099" s="74"/>
      <c r="N1099" s="74"/>
    </row>
    <row r="1100" spans="1:14" s="10" customFormat="1" ht="30" customHeight="1">
      <c r="A1100" s="296"/>
      <c r="B1100" s="260" t="s">
        <v>106</v>
      </c>
      <c r="C1100" s="261"/>
      <c r="D1100" s="262"/>
      <c r="E1100" s="263"/>
      <c r="F1100" s="261"/>
      <c r="G1100" s="297">
        <f>SUM(G1074:G1099)</f>
        <v>78880</v>
      </c>
      <c r="H1100" s="265"/>
      <c r="I1100" s="224"/>
      <c r="K1100" s="267"/>
      <c r="L1100" s="267"/>
      <c r="N1100" s="267"/>
    </row>
    <row r="1101" spans="1:12" s="11" customFormat="1" ht="30" customHeight="1">
      <c r="A1101" s="269">
        <v>735</v>
      </c>
      <c r="B1101" s="270" t="s">
        <v>235</v>
      </c>
      <c r="C1101" s="137" t="s">
        <v>116</v>
      </c>
      <c r="D1101" s="137" t="s">
        <v>109</v>
      </c>
      <c r="E1101" s="138" t="s">
        <v>113</v>
      </c>
      <c r="F1101" s="271" t="s">
        <v>117</v>
      </c>
      <c r="G1101" s="272">
        <v>318</v>
      </c>
      <c r="H1101" s="137" t="s">
        <v>63</v>
      </c>
      <c r="I1101" s="224"/>
      <c r="K1101" s="11">
        <v>99</v>
      </c>
      <c r="L1101" s="275">
        <f aca="true" t="shared" si="14" ref="L1101:L1107">G1101-K1101</f>
        <v>219</v>
      </c>
    </row>
    <row r="1102" spans="1:12" s="11" customFormat="1" ht="45" customHeight="1">
      <c r="A1102" s="269">
        <v>736</v>
      </c>
      <c r="B1102" s="270" t="s">
        <v>236</v>
      </c>
      <c r="C1102" s="137" t="s">
        <v>119</v>
      </c>
      <c r="D1102" s="137" t="s">
        <v>109</v>
      </c>
      <c r="E1102" s="138" t="s">
        <v>120</v>
      </c>
      <c r="F1102" s="138" t="s">
        <v>121</v>
      </c>
      <c r="G1102" s="272">
        <v>3375.77</v>
      </c>
      <c r="H1102" s="137" t="s">
        <v>63</v>
      </c>
      <c r="I1102" s="224"/>
      <c r="K1102" s="11">
        <f>1093.11</f>
        <v>1093.11</v>
      </c>
      <c r="L1102" s="275">
        <f t="shared" si="14"/>
        <v>2282.66</v>
      </c>
    </row>
    <row r="1103" spans="1:12" s="11" customFormat="1" ht="30" customHeight="1">
      <c r="A1103" s="269">
        <v>737</v>
      </c>
      <c r="B1103" s="98" t="s">
        <v>295</v>
      </c>
      <c r="C1103" s="99" t="s">
        <v>112</v>
      </c>
      <c r="D1103" s="99" t="s">
        <v>109</v>
      </c>
      <c r="E1103" s="162" t="s">
        <v>113</v>
      </c>
      <c r="F1103" s="138">
        <v>1500</v>
      </c>
      <c r="G1103" s="272">
        <v>1800</v>
      </c>
      <c r="H1103" s="137" t="s">
        <v>63</v>
      </c>
      <c r="I1103" s="224"/>
      <c r="K1103" s="11">
        <f>400</f>
        <v>400</v>
      </c>
      <c r="L1103" s="275">
        <f t="shared" si="14"/>
        <v>1400</v>
      </c>
    </row>
    <row r="1104" spans="1:12" s="11" customFormat="1" ht="30" customHeight="1">
      <c r="A1104" s="269">
        <v>738</v>
      </c>
      <c r="B1104" s="270" t="s">
        <v>130</v>
      </c>
      <c r="C1104" s="137" t="s">
        <v>131</v>
      </c>
      <c r="D1104" s="137" t="s">
        <v>109</v>
      </c>
      <c r="E1104" s="138" t="s">
        <v>25</v>
      </c>
      <c r="F1104" s="138">
        <v>3</v>
      </c>
      <c r="G1104" s="272">
        <v>840</v>
      </c>
      <c r="H1104" s="137" t="s">
        <v>132</v>
      </c>
      <c r="I1104" s="224"/>
      <c r="K1104" s="11">
        <v>280</v>
      </c>
      <c r="L1104" s="275">
        <f t="shared" si="14"/>
        <v>560</v>
      </c>
    </row>
    <row r="1105" spans="1:12" s="11" customFormat="1" ht="30" customHeight="1">
      <c r="A1105" s="269">
        <v>739</v>
      </c>
      <c r="B1105" s="273" t="s">
        <v>286</v>
      </c>
      <c r="C1105" s="274" t="s">
        <v>239</v>
      </c>
      <c r="D1105" s="137" t="s">
        <v>109</v>
      </c>
      <c r="E1105" s="138" t="s">
        <v>285</v>
      </c>
      <c r="F1105" s="138">
        <v>561.7</v>
      </c>
      <c r="G1105" s="272">
        <v>1662.63</v>
      </c>
      <c r="H1105" s="137" t="s">
        <v>19</v>
      </c>
      <c r="I1105" s="224"/>
      <c r="L1105" s="275">
        <f t="shared" si="14"/>
        <v>1662.63</v>
      </c>
    </row>
    <row r="1106" spans="1:12" s="11" customFormat="1" ht="30" customHeight="1">
      <c r="A1106" s="269">
        <v>740</v>
      </c>
      <c r="B1106" s="270" t="s">
        <v>127</v>
      </c>
      <c r="C1106" s="274" t="s">
        <v>239</v>
      </c>
      <c r="D1106" s="137" t="s">
        <v>109</v>
      </c>
      <c r="E1106" s="138" t="s">
        <v>285</v>
      </c>
      <c r="F1106" s="138">
        <v>1270</v>
      </c>
      <c r="G1106" s="272">
        <v>3276.6</v>
      </c>
      <c r="H1106" s="137" t="s">
        <v>19</v>
      </c>
      <c r="I1106" s="224"/>
      <c r="L1106" s="275">
        <f t="shared" si="14"/>
        <v>3276.6</v>
      </c>
    </row>
    <row r="1107" spans="1:12" s="11" customFormat="1" ht="30" customHeight="1">
      <c r="A1107" s="269">
        <v>741</v>
      </c>
      <c r="B1107" s="98" t="s">
        <v>296</v>
      </c>
      <c r="C1107" s="99" t="s">
        <v>282</v>
      </c>
      <c r="D1107" s="137" t="s">
        <v>109</v>
      </c>
      <c r="E1107" s="138" t="s">
        <v>113</v>
      </c>
      <c r="F1107" s="138" t="s">
        <v>117</v>
      </c>
      <c r="G1107" s="272">
        <v>1413</v>
      </c>
      <c r="H1107" s="137" t="s">
        <v>63</v>
      </c>
      <c r="I1107" s="224"/>
      <c r="K1107" s="11">
        <v>470.96</v>
      </c>
      <c r="L1107" s="275">
        <f t="shared" si="14"/>
        <v>942.04</v>
      </c>
    </row>
    <row r="1108" spans="1:12" s="10" customFormat="1" ht="30" customHeight="1">
      <c r="A1108" s="334"/>
      <c r="B1108" s="260" t="s">
        <v>136</v>
      </c>
      <c r="C1108" s="261"/>
      <c r="D1108" s="262"/>
      <c r="E1108" s="263"/>
      <c r="F1108" s="263"/>
      <c r="G1108" s="297">
        <f>SUM(G1101:G1107)</f>
        <v>12686</v>
      </c>
      <c r="H1108" s="265"/>
      <c r="I1108" s="224"/>
      <c r="K1108" s="10">
        <f>SUM(K1101:K1107)</f>
        <v>2343.0699999999997</v>
      </c>
      <c r="L1108" s="267">
        <f>SUM(L1101:L1107)</f>
        <v>10342.93</v>
      </c>
    </row>
    <row r="1109" spans="1:11" ht="30" customHeight="1">
      <c r="A1109" s="269">
        <v>742</v>
      </c>
      <c r="B1109" s="38" t="s">
        <v>137</v>
      </c>
      <c r="C1109" s="52" t="s">
        <v>138</v>
      </c>
      <c r="D1109" s="40" t="s">
        <v>139</v>
      </c>
      <c r="E1109" s="41" t="s">
        <v>140</v>
      </c>
      <c r="F1109" s="53">
        <f>G1109/67.76</f>
        <v>4995.572609208973</v>
      </c>
      <c r="G1109" s="295">
        <v>338500</v>
      </c>
      <c r="H1109" s="137" t="s">
        <v>63</v>
      </c>
      <c r="I1109" s="224"/>
      <c r="K1109" s="12">
        <v>139880</v>
      </c>
    </row>
    <row r="1110" spans="1:9" s="10" customFormat="1" ht="30" customHeight="1">
      <c r="A1110" s="334"/>
      <c r="B1110" s="260" t="s">
        <v>141</v>
      </c>
      <c r="C1110" s="261"/>
      <c r="D1110" s="262"/>
      <c r="E1110" s="263"/>
      <c r="F1110" s="263"/>
      <c r="G1110" s="297">
        <f>SUM(G1109:G1109)</f>
        <v>338500</v>
      </c>
      <c r="H1110" s="265"/>
      <c r="I1110" s="224"/>
    </row>
    <row r="1111" spans="1:11" ht="30" customHeight="1">
      <c r="A1111" s="269">
        <v>743</v>
      </c>
      <c r="B1111" s="38" t="s">
        <v>244</v>
      </c>
      <c r="C1111" s="54" t="s">
        <v>245</v>
      </c>
      <c r="D1111" s="40" t="s">
        <v>246</v>
      </c>
      <c r="E1111" s="41" t="s">
        <v>110</v>
      </c>
      <c r="F1111" s="56">
        <f>G1111/12.72</f>
        <v>135.53459119496856</v>
      </c>
      <c r="G1111" s="295">
        <v>1724</v>
      </c>
      <c r="H1111" s="137" t="s">
        <v>63</v>
      </c>
      <c r="I1111" s="224"/>
      <c r="K1111" s="74"/>
    </row>
    <row r="1112" spans="1:9" s="10" customFormat="1" ht="30" customHeight="1">
      <c r="A1112" s="334"/>
      <c r="B1112" s="260" t="s">
        <v>247</v>
      </c>
      <c r="C1112" s="261"/>
      <c r="D1112" s="262"/>
      <c r="E1112" s="263"/>
      <c r="F1112" s="263"/>
      <c r="G1112" s="297">
        <f>G1111</f>
        <v>1724</v>
      </c>
      <c r="H1112" s="265"/>
      <c r="I1112" s="224"/>
    </row>
    <row r="1113" spans="1:13" ht="30" customHeight="1">
      <c r="A1113" s="269">
        <v>744</v>
      </c>
      <c r="B1113" s="38" t="s">
        <v>142</v>
      </c>
      <c r="C1113" s="54" t="s">
        <v>143</v>
      </c>
      <c r="D1113" s="40" t="s">
        <v>144</v>
      </c>
      <c r="E1113" s="41" t="s">
        <v>145</v>
      </c>
      <c r="F1113" s="56">
        <f>G1113/4.14243</f>
        <v>4759.766610419488</v>
      </c>
      <c r="G1113" s="295">
        <v>19717</v>
      </c>
      <c r="H1113" s="137" t="s">
        <v>63</v>
      </c>
      <c r="I1113" s="224"/>
      <c r="K1113" s="12">
        <f>7652.12</f>
        <v>7652.12</v>
      </c>
      <c r="L1113" s="240"/>
      <c r="M1113" s="74">
        <f>G1113-K1113</f>
        <v>12064.880000000001</v>
      </c>
    </row>
    <row r="1114" spans="1:9" s="10" customFormat="1" ht="30" customHeight="1">
      <c r="A1114" s="296"/>
      <c r="B1114" s="260" t="s">
        <v>146</v>
      </c>
      <c r="C1114" s="261"/>
      <c r="D1114" s="262"/>
      <c r="E1114" s="262"/>
      <c r="F1114" s="262"/>
      <c r="G1114" s="297">
        <f>G1113</f>
        <v>19717</v>
      </c>
      <c r="H1114" s="265"/>
      <c r="I1114" s="224"/>
    </row>
    <row r="1115" spans="1:9" ht="22.5" customHeight="1">
      <c r="A1115" s="19"/>
      <c r="B1115" s="208" t="s">
        <v>151</v>
      </c>
      <c r="C1115" s="167"/>
      <c r="D1115" s="168"/>
      <c r="E1115" s="207"/>
      <c r="F1115" s="170"/>
      <c r="G1115" s="304"/>
      <c r="H1115" s="171"/>
      <c r="I1115" s="223"/>
    </row>
    <row r="1116" spans="1:9" ht="22.5" customHeight="1">
      <c r="A1116" s="19"/>
      <c r="B1116" s="106" t="s">
        <v>152</v>
      </c>
      <c r="C1116" s="107"/>
      <c r="D1116" s="108" t="s">
        <v>153</v>
      </c>
      <c r="E1116" s="109"/>
      <c r="F1116" s="109"/>
      <c r="G1116" s="304"/>
      <c r="H1116" s="171"/>
      <c r="I1116" s="223"/>
    </row>
    <row r="1117" spans="1:9" s="8" customFormat="1" ht="22.5" customHeight="1">
      <c r="A1117" s="19"/>
      <c r="B1117" s="111"/>
      <c r="C1117" s="9"/>
      <c r="D1117" s="112" t="s">
        <v>154</v>
      </c>
      <c r="E1117" s="113" t="s">
        <v>155</v>
      </c>
      <c r="F1117" s="114"/>
      <c r="G1117" s="304"/>
      <c r="H1117" s="171"/>
      <c r="I1117" s="223"/>
    </row>
    <row r="1118" spans="1:9" s="8" customFormat="1" ht="22.5" customHeight="1">
      <c r="A1118" s="19"/>
      <c r="B1118" s="115" t="s">
        <v>156</v>
      </c>
      <c r="C1118" s="116"/>
      <c r="D1118" s="108" t="s">
        <v>157</v>
      </c>
      <c r="E1118" s="109"/>
      <c r="F1118" s="109"/>
      <c r="G1118" s="304"/>
      <c r="H1118" s="171"/>
      <c r="I1118" s="223"/>
    </row>
    <row r="1119" spans="1:9" ht="22.5" customHeight="1">
      <c r="A1119" s="19"/>
      <c r="B1119" s="111"/>
      <c r="C1119" s="9"/>
      <c r="D1119" s="112" t="s">
        <v>154</v>
      </c>
      <c r="E1119" s="113"/>
      <c r="F1119" s="114"/>
      <c r="G1119" s="304"/>
      <c r="H1119" s="8"/>
      <c r="I1119" s="141"/>
    </row>
    <row r="1120" spans="1:9" s="8" customFormat="1" ht="22.5" customHeight="1">
      <c r="A1120" s="19"/>
      <c r="B1120" s="115" t="s">
        <v>158</v>
      </c>
      <c r="C1120" s="9"/>
      <c r="D1120" s="9"/>
      <c r="E1120" s="9"/>
      <c r="F1120" s="9"/>
      <c r="G1120" s="304"/>
      <c r="H1120" s="171"/>
      <c r="I1120" s="223"/>
    </row>
    <row r="1121" spans="1:9" s="2" customFormat="1" ht="30" customHeight="1">
      <c r="A1121" s="169"/>
      <c r="B1121" s="229" t="s">
        <v>159</v>
      </c>
      <c r="C1121" s="167"/>
      <c r="D1121" s="291" t="s">
        <v>160</v>
      </c>
      <c r="E1121" s="229"/>
      <c r="F1121" s="170"/>
      <c r="G1121" s="307"/>
      <c r="H1121" s="171"/>
      <c r="I1121" s="326"/>
    </row>
    <row r="1122" spans="1:9" ht="22.5" customHeight="1">
      <c r="A1122" s="19"/>
      <c r="B1122" s="230" t="s">
        <v>161</v>
      </c>
      <c r="C1122" s="167"/>
      <c r="D1122" s="168"/>
      <c r="E1122" s="207"/>
      <c r="F1122" s="170"/>
      <c r="G1122" s="304"/>
      <c r="H1122" s="171"/>
      <c r="I1122" s="223"/>
    </row>
    <row r="1123" spans="1:9" ht="67.5" customHeight="1">
      <c r="A1123" s="19"/>
      <c r="B1123" s="8" t="s">
        <v>0</v>
      </c>
      <c r="C1123" s="20"/>
      <c r="D1123" s="21"/>
      <c r="E1123" s="22"/>
      <c r="F1123" s="23" t="s">
        <v>1</v>
      </c>
      <c r="G1123" s="23"/>
      <c r="H1123" s="21"/>
      <c r="I1123" s="70"/>
    </row>
    <row r="1124" spans="1:9" ht="45" customHeight="1">
      <c r="A1124" s="317" t="s">
        <v>248</v>
      </c>
      <c r="B1124" s="317"/>
      <c r="C1124" s="317"/>
      <c r="D1124" s="317"/>
      <c r="E1124" s="317"/>
      <c r="F1124" s="317"/>
      <c r="G1124" s="317"/>
      <c r="H1124" s="317"/>
      <c r="I1124" s="317"/>
    </row>
    <row r="1125" spans="1:9" s="7" customFormat="1" ht="29.25" customHeight="1" hidden="1">
      <c r="A1125" s="35" t="s">
        <v>682</v>
      </c>
      <c r="B1125" s="173"/>
      <c r="C1125" s="173"/>
      <c r="D1125" s="173"/>
      <c r="E1125" s="173"/>
      <c r="F1125" s="173"/>
      <c r="G1125" s="173"/>
      <c r="H1125" s="173"/>
      <c r="I1125" s="173"/>
    </row>
    <row r="1126" spans="3:9" ht="14.25" customHeight="1">
      <c r="C1126" s="124"/>
      <c r="D1126" s="268" t="s">
        <v>4</v>
      </c>
      <c r="E1126" s="124"/>
      <c r="F1126" s="124"/>
      <c r="G1126" s="3"/>
      <c r="H1126" s="16"/>
      <c r="I1126" s="16"/>
    </row>
    <row r="1127" spans="5:6" ht="14.25" customHeight="1">
      <c r="E1127" s="3"/>
      <c r="F1127" s="3"/>
    </row>
    <row r="1128" spans="1:11" ht="15.75" customHeight="1">
      <c r="A1128" s="26" t="s">
        <v>5</v>
      </c>
      <c r="B1128" s="27" t="s">
        <v>6</v>
      </c>
      <c r="C1128" s="28" t="s">
        <v>7</v>
      </c>
      <c r="D1128" s="28" t="s">
        <v>249</v>
      </c>
      <c r="E1128" s="28" t="s">
        <v>9</v>
      </c>
      <c r="F1128" s="28" t="s">
        <v>10</v>
      </c>
      <c r="G1128" s="28" t="s">
        <v>250</v>
      </c>
      <c r="H1128" s="28" t="s">
        <v>251</v>
      </c>
      <c r="I1128" s="28" t="s">
        <v>13</v>
      </c>
      <c r="J1128" s="71"/>
      <c r="K1128" s="71"/>
    </row>
    <row r="1129" spans="1:9" ht="31.5" customHeight="1">
      <c r="A1129" s="29"/>
      <c r="B1129" s="30"/>
      <c r="C1129" s="31"/>
      <c r="D1129" s="31"/>
      <c r="E1129" s="31"/>
      <c r="F1129" s="31"/>
      <c r="G1129" s="31"/>
      <c r="H1129" s="31"/>
      <c r="I1129" s="31"/>
    </row>
    <row r="1130" spans="1:9" ht="37.5" customHeight="1">
      <c r="A1130" s="32"/>
      <c r="B1130" s="33"/>
      <c r="C1130" s="34"/>
      <c r="D1130" s="34"/>
      <c r="E1130" s="34"/>
      <c r="F1130" s="34"/>
      <c r="G1130" s="34"/>
      <c r="H1130" s="34"/>
      <c r="I1130" s="34"/>
    </row>
    <row r="1131" spans="1:14" ht="20.25" customHeight="1">
      <c r="A1131" s="32">
        <v>1</v>
      </c>
      <c r="B1131" s="33">
        <v>2</v>
      </c>
      <c r="C1131" s="34">
        <v>3</v>
      </c>
      <c r="D1131" s="34">
        <v>4</v>
      </c>
      <c r="E1131" s="34">
        <v>5</v>
      </c>
      <c r="F1131" s="34">
        <v>6</v>
      </c>
      <c r="G1131" s="34">
        <v>7</v>
      </c>
      <c r="H1131" s="34">
        <v>8</v>
      </c>
      <c r="I1131" s="72">
        <v>9</v>
      </c>
      <c r="N1131" s="12" t="s">
        <v>252</v>
      </c>
    </row>
    <row r="1132" spans="1:12" ht="30" customHeight="1">
      <c r="A1132" s="37">
        <v>745</v>
      </c>
      <c r="B1132" s="38" t="s">
        <v>15</v>
      </c>
      <c r="C1132" s="39" t="s">
        <v>16</v>
      </c>
      <c r="D1132" s="40" t="s">
        <v>17</v>
      </c>
      <c r="E1132" s="41" t="s">
        <v>18</v>
      </c>
      <c r="F1132" s="41">
        <v>10</v>
      </c>
      <c r="G1132" s="295">
        <v>2100</v>
      </c>
      <c r="H1132" s="137" t="s">
        <v>63</v>
      </c>
      <c r="I1132" s="224" t="s">
        <v>253</v>
      </c>
      <c r="L1132" s="74">
        <f>G1132-K1132</f>
        <v>2100</v>
      </c>
    </row>
    <row r="1133" spans="1:12" ht="30" customHeight="1">
      <c r="A1133" s="37">
        <v>746</v>
      </c>
      <c r="B1133" s="98" t="s">
        <v>254</v>
      </c>
      <c r="C1133" s="99" t="s">
        <v>24</v>
      </c>
      <c r="D1133" s="99" t="s">
        <v>17</v>
      </c>
      <c r="E1133" s="162" t="s">
        <v>25</v>
      </c>
      <c r="F1133" s="34">
        <v>5</v>
      </c>
      <c r="G1133" s="295">
        <v>870</v>
      </c>
      <c r="H1133" s="137" t="s">
        <v>63</v>
      </c>
      <c r="I1133" s="224"/>
      <c r="L1133" s="74"/>
    </row>
    <row r="1134" spans="1:12" ht="45" customHeight="1">
      <c r="A1134" s="37">
        <v>747</v>
      </c>
      <c r="B1134" s="98" t="s">
        <v>255</v>
      </c>
      <c r="C1134" s="99" t="s">
        <v>27</v>
      </c>
      <c r="D1134" s="40" t="s">
        <v>17</v>
      </c>
      <c r="E1134" s="41" t="s">
        <v>22</v>
      </c>
      <c r="F1134" s="41">
        <v>3</v>
      </c>
      <c r="G1134" s="295">
        <v>528</v>
      </c>
      <c r="H1134" s="137" t="s">
        <v>63</v>
      </c>
      <c r="I1134" s="224"/>
      <c r="L1134" s="74">
        <f>G1134-K1134</f>
        <v>528</v>
      </c>
    </row>
    <row r="1135" spans="1:12" ht="30" customHeight="1">
      <c r="A1135" s="37">
        <v>748</v>
      </c>
      <c r="B1135" s="98" t="s">
        <v>256</v>
      </c>
      <c r="C1135" s="99" t="s">
        <v>27</v>
      </c>
      <c r="D1135" s="137" t="s">
        <v>17</v>
      </c>
      <c r="E1135" s="138" t="s">
        <v>25</v>
      </c>
      <c r="F1135" s="41">
        <v>8</v>
      </c>
      <c r="G1135" s="295">
        <v>472</v>
      </c>
      <c r="H1135" s="51" t="s">
        <v>63</v>
      </c>
      <c r="I1135" s="224"/>
      <c r="L1135" s="74"/>
    </row>
    <row r="1136" spans="1:12" ht="30" customHeight="1">
      <c r="A1136" s="37">
        <v>749</v>
      </c>
      <c r="B1136" s="98" t="s">
        <v>257</v>
      </c>
      <c r="C1136" s="99" t="s">
        <v>33</v>
      </c>
      <c r="D1136" s="137" t="s">
        <v>17</v>
      </c>
      <c r="E1136" s="138" t="s">
        <v>34</v>
      </c>
      <c r="F1136" s="41">
        <v>100</v>
      </c>
      <c r="G1136" s="295">
        <v>12000</v>
      </c>
      <c r="H1136" s="51" t="s">
        <v>63</v>
      </c>
      <c r="I1136" s="224"/>
      <c r="L1136" s="74"/>
    </row>
    <row r="1137" spans="1:12" ht="30" customHeight="1">
      <c r="A1137" s="37">
        <v>750</v>
      </c>
      <c r="B1137" s="98" t="s">
        <v>258</v>
      </c>
      <c r="C1137" s="99" t="s">
        <v>44</v>
      </c>
      <c r="D1137" s="137" t="s">
        <v>17</v>
      </c>
      <c r="E1137" s="138" t="s">
        <v>25</v>
      </c>
      <c r="F1137" s="41">
        <v>2</v>
      </c>
      <c r="G1137" s="295">
        <v>580</v>
      </c>
      <c r="H1137" s="51" t="s">
        <v>63</v>
      </c>
      <c r="I1137" s="224"/>
      <c r="L1137" s="74"/>
    </row>
    <row r="1138" spans="1:12" ht="30" customHeight="1">
      <c r="A1138" s="37">
        <v>751</v>
      </c>
      <c r="B1138" s="98" t="s">
        <v>259</v>
      </c>
      <c r="C1138" s="99" t="s">
        <v>260</v>
      </c>
      <c r="D1138" s="137" t="s">
        <v>17</v>
      </c>
      <c r="E1138" s="138" t="s">
        <v>25</v>
      </c>
      <c r="F1138" s="41">
        <v>2</v>
      </c>
      <c r="G1138" s="295">
        <v>4603.42</v>
      </c>
      <c r="H1138" s="51" t="s">
        <v>63</v>
      </c>
      <c r="I1138" s="224"/>
      <c r="L1138" s="74"/>
    </row>
    <row r="1139" spans="1:12" ht="30" customHeight="1">
      <c r="A1139" s="37">
        <v>752</v>
      </c>
      <c r="B1139" s="98" t="s">
        <v>261</v>
      </c>
      <c r="C1139" s="99" t="s">
        <v>44</v>
      </c>
      <c r="D1139" s="137" t="s">
        <v>17</v>
      </c>
      <c r="E1139" s="138" t="s">
        <v>25</v>
      </c>
      <c r="F1139" s="41">
        <v>2</v>
      </c>
      <c r="G1139" s="295">
        <v>1400</v>
      </c>
      <c r="H1139" s="51" t="s">
        <v>63</v>
      </c>
      <c r="I1139" s="224"/>
      <c r="L1139" s="74"/>
    </row>
    <row r="1140" spans="1:12" ht="45" customHeight="1">
      <c r="A1140" s="37">
        <v>753</v>
      </c>
      <c r="B1140" s="98" t="s">
        <v>262</v>
      </c>
      <c r="C1140" s="99" t="s">
        <v>204</v>
      </c>
      <c r="D1140" s="137" t="s">
        <v>17</v>
      </c>
      <c r="E1140" s="138" t="s">
        <v>25</v>
      </c>
      <c r="F1140" s="41">
        <v>4</v>
      </c>
      <c r="G1140" s="295">
        <v>788</v>
      </c>
      <c r="H1140" s="51" t="s">
        <v>63</v>
      </c>
      <c r="I1140" s="224"/>
      <c r="L1140" s="74"/>
    </row>
    <row r="1141" spans="1:12" ht="30" customHeight="1">
      <c r="A1141" s="37">
        <v>754</v>
      </c>
      <c r="B1141" s="98" t="s">
        <v>263</v>
      </c>
      <c r="C1141" s="99" t="s">
        <v>179</v>
      </c>
      <c r="D1141" s="137" t="s">
        <v>17</v>
      </c>
      <c r="E1141" s="138" t="s">
        <v>25</v>
      </c>
      <c r="F1141" s="41">
        <v>2</v>
      </c>
      <c r="G1141" s="295">
        <v>230</v>
      </c>
      <c r="H1141" s="51" t="s">
        <v>63</v>
      </c>
      <c r="I1141" s="224"/>
      <c r="L1141" s="74"/>
    </row>
    <row r="1142" spans="1:12" ht="30" customHeight="1">
      <c r="A1142" s="37">
        <v>755</v>
      </c>
      <c r="B1142" s="38" t="s">
        <v>57</v>
      </c>
      <c r="C1142" s="40" t="s">
        <v>58</v>
      </c>
      <c r="D1142" s="40" t="s">
        <v>17</v>
      </c>
      <c r="E1142" s="41" t="s">
        <v>25</v>
      </c>
      <c r="F1142" s="41">
        <v>1</v>
      </c>
      <c r="G1142" s="42">
        <v>2500.2</v>
      </c>
      <c r="H1142" s="155" t="s">
        <v>63</v>
      </c>
      <c r="I1142" s="224"/>
      <c r="L1142" s="74"/>
    </row>
    <row r="1143" spans="1:12" ht="30" customHeight="1">
      <c r="A1143" s="37">
        <v>756</v>
      </c>
      <c r="B1143" s="38" t="s">
        <v>208</v>
      </c>
      <c r="C1143" s="43" t="s">
        <v>209</v>
      </c>
      <c r="D1143" s="137" t="s">
        <v>17</v>
      </c>
      <c r="E1143" s="138" t="s">
        <v>264</v>
      </c>
      <c r="F1143" s="53">
        <f>10.77+4.586065</f>
        <v>15.356065</v>
      </c>
      <c r="G1143" s="295">
        <f>2044.25+870.16</f>
        <v>2914.41</v>
      </c>
      <c r="H1143" s="51" t="s">
        <v>63</v>
      </c>
      <c r="I1143" s="224"/>
      <c r="L1143" s="74"/>
    </row>
    <row r="1144" spans="1:12" ht="45" customHeight="1">
      <c r="A1144" s="37">
        <v>757</v>
      </c>
      <c r="B1144" s="38" t="s">
        <v>265</v>
      </c>
      <c r="C1144" s="43" t="s">
        <v>204</v>
      </c>
      <c r="D1144" s="137" t="s">
        <v>17</v>
      </c>
      <c r="E1144" s="138" t="s">
        <v>205</v>
      </c>
      <c r="F1144" s="41">
        <v>2.15</v>
      </c>
      <c r="G1144" s="295">
        <v>801.95</v>
      </c>
      <c r="H1144" s="51" t="s">
        <v>63</v>
      </c>
      <c r="I1144" s="224"/>
      <c r="L1144" s="74"/>
    </row>
    <row r="1145" spans="1:12" ht="45" customHeight="1">
      <c r="A1145" s="37">
        <v>758</v>
      </c>
      <c r="B1145" s="98" t="s">
        <v>266</v>
      </c>
      <c r="C1145" s="99" t="s">
        <v>204</v>
      </c>
      <c r="D1145" s="137" t="s">
        <v>17</v>
      </c>
      <c r="E1145" s="138" t="s">
        <v>264</v>
      </c>
      <c r="F1145" s="41">
        <v>7.2</v>
      </c>
      <c r="G1145" s="295">
        <v>6552</v>
      </c>
      <c r="H1145" s="51" t="s">
        <v>63</v>
      </c>
      <c r="I1145" s="224"/>
      <c r="L1145" s="74"/>
    </row>
    <row r="1146" spans="1:12" ht="45" customHeight="1">
      <c r="A1146" s="37">
        <v>759</v>
      </c>
      <c r="B1146" s="98" t="s">
        <v>267</v>
      </c>
      <c r="C1146" s="99" t="s">
        <v>204</v>
      </c>
      <c r="D1146" s="137" t="s">
        <v>17</v>
      </c>
      <c r="E1146" s="138" t="s">
        <v>205</v>
      </c>
      <c r="F1146" s="41">
        <v>33.3312</v>
      </c>
      <c r="G1146" s="295">
        <v>88210.02</v>
      </c>
      <c r="H1146" s="51" t="s">
        <v>63</v>
      </c>
      <c r="I1146" s="224"/>
      <c r="L1146" s="74"/>
    </row>
    <row r="1147" spans="1:14" s="10" customFormat="1" ht="30" customHeight="1">
      <c r="A1147" s="296"/>
      <c r="B1147" s="260" t="s">
        <v>59</v>
      </c>
      <c r="C1147" s="261"/>
      <c r="D1147" s="262"/>
      <c r="E1147" s="263"/>
      <c r="F1147" s="263"/>
      <c r="G1147" s="297">
        <f>SUM(G1132:G1146)</f>
        <v>124550</v>
      </c>
      <c r="H1147" s="265"/>
      <c r="I1147" s="224"/>
      <c r="K1147" s="10">
        <f>SUM(K1132:K1146)</f>
        <v>0</v>
      </c>
      <c r="L1147" s="267">
        <f>G1147-K1147</f>
        <v>124550</v>
      </c>
      <c r="N1147" s="10">
        <f>M1147-K1147</f>
        <v>0</v>
      </c>
    </row>
    <row r="1148" spans="1:12" ht="30" customHeight="1">
      <c r="A1148" s="37">
        <v>760</v>
      </c>
      <c r="B1148" s="38" t="s">
        <v>268</v>
      </c>
      <c r="C1148" s="40" t="s">
        <v>70</v>
      </c>
      <c r="D1148" s="40" t="s">
        <v>62</v>
      </c>
      <c r="E1148" s="41" t="s">
        <v>34</v>
      </c>
      <c r="F1148" s="69">
        <v>4</v>
      </c>
      <c r="G1148" s="295">
        <v>82.1</v>
      </c>
      <c r="H1148" s="51" t="s">
        <v>63</v>
      </c>
      <c r="I1148" s="224"/>
      <c r="L1148" s="74"/>
    </row>
    <row r="1149" spans="1:12" ht="30" customHeight="1">
      <c r="A1149" s="37">
        <v>761</v>
      </c>
      <c r="B1149" s="40" t="s">
        <v>269</v>
      </c>
      <c r="C1149" s="40" t="s">
        <v>270</v>
      </c>
      <c r="D1149" s="40" t="s">
        <v>62</v>
      </c>
      <c r="E1149" s="41" t="s">
        <v>34</v>
      </c>
      <c r="F1149" s="69">
        <v>0.3</v>
      </c>
      <c r="G1149" s="295">
        <v>112.32</v>
      </c>
      <c r="H1149" s="51" t="s">
        <v>63</v>
      </c>
      <c r="I1149" s="224"/>
      <c r="L1149" s="74"/>
    </row>
    <row r="1150" spans="1:12" ht="30" customHeight="1">
      <c r="A1150" s="37">
        <v>762</v>
      </c>
      <c r="B1150" s="38" t="s">
        <v>218</v>
      </c>
      <c r="C1150" s="43" t="s">
        <v>219</v>
      </c>
      <c r="D1150" s="40" t="s">
        <v>62</v>
      </c>
      <c r="E1150" s="41" t="s">
        <v>34</v>
      </c>
      <c r="F1150" s="69">
        <v>3</v>
      </c>
      <c r="G1150" s="295">
        <v>68.8</v>
      </c>
      <c r="H1150" s="51" t="s">
        <v>63</v>
      </c>
      <c r="I1150" s="224"/>
      <c r="L1150" s="74"/>
    </row>
    <row r="1151" spans="1:12" ht="30" customHeight="1">
      <c r="A1151" s="37">
        <v>763</v>
      </c>
      <c r="B1151" s="38" t="s">
        <v>216</v>
      </c>
      <c r="C1151" s="40" t="s">
        <v>217</v>
      </c>
      <c r="D1151" s="40" t="s">
        <v>62</v>
      </c>
      <c r="E1151" s="41" t="s">
        <v>34</v>
      </c>
      <c r="F1151" s="69">
        <v>17</v>
      </c>
      <c r="G1151" s="295">
        <v>324.1</v>
      </c>
      <c r="H1151" s="51" t="s">
        <v>63</v>
      </c>
      <c r="I1151" s="224"/>
      <c r="L1151" s="74"/>
    </row>
    <row r="1152" spans="1:12" ht="30" customHeight="1">
      <c r="A1152" s="37">
        <v>764</v>
      </c>
      <c r="B1152" s="38" t="s">
        <v>64</v>
      </c>
      <c r="C1152" s="40" t="s">
        <v>65</v>
      </c>
      <c r="D1152" s="40" t="s">
        <v>62</v>
      </c>
      <c r="E1152" s="41" t="s">
        <v>34</v>
      </c>
      <c r="F1152" s="69">
        <v>350</v>
      </c>
      <c r="G1152" s="295">
        <v>5985</v>
      </c>
      <c r="H1152" s="51" t="s">
        <v>63</v>
      </c>
      <c r="I1152" s="224"/>
      <c r="L1152" s="74"/>
    </row>
    <row r="1153" spans="1:12" ht="30" customHeight="1">
      <c r="A1153" s="37">
        <v>765</v>
      </c>
      <c r="B1153" s="38" t="s">
        <v>71</v>
      </c>
      <c r="C1153" s="71" t="s">
        <v>72</v>
      </c>
      <c r="D1153" s="40" t="s">
        <v>62</v>
      </c>
      <c r="E1153" s="41" t="s">
        <v>34</v>
      </c>
      <c r="F1153" s="69">
        <v>38</v>
      </c>
      <c r="G1153" s="295">
        <v>601.8</v>
      </c>
      <c r="H1153" s="51" t="s">
        <v>63</v>
      </c>
      <c r="I1153" s="224"/>
      <c r="L1153" s="74"/>
    </row>
    <row r="1154" spans="1:12" ht="30" customHeight="1">
      <c r="A1154" s="37">
        <v>766</v>
      </c>
      <c r="B1154" s="38" t="s">
        <v>73</v>
      </c>
      <c r="C1154" s="40" t="s">
        <v>74</v>
      </c>
      <c r="D1154" s="40" t="s">
        <v>62</v>
      </c>
      <c r="E1154" s="41" t="s">
        <v>34</v>
      </c>
      <c r="F1154" s="69">
        <v>24</v>
      </c>
      <c r="G1154" s="295">
        <v>561.8</v>
      </c>
      <c r="H1154" s="51" t="s">
        <v>63</v>
      </c>
      <c r="I1154" s="224"/>
      <c r="L1154" s="74"/>
    </row>
    <row r="1155" spans="1:12" ht="30" customHeight="1">
      <c r="A1155" s="37">
        <v>767</v>
      </c>
      <c r="B1155" s="38" t="s">
        <v>75</v>
      </c>
      <c r="C1155" s="71" t="s">
        <v>76</v>
      </c>
      <c r="D1155" s="40" t="s">
        <v>62</v>
      </c>
      <c r="E1155" s="41" t="s">
        <v>77</v>
      </c>
      <c r="F1155" s="69">
        <v>12</v>
      </c>
      <c r="G1155" s="295">
        <v>893.4</v>
      </c>
      <c r="H1155" s="51" t="s">
        <v>63</v>
      </c>
      <c r="I1155" s="224"/>
      <c r="L1155" s="74"/>
    </row>
    <row r="1156" spans="1:12" ht="30" customHeight="1">
      <c r="A1156" s="37">
        <v>768</v>
      </c>
      <c r="B1156" s="38" t="s">
        <v>78</v>
      </c>
      <c r="C1156" s="40" t="s">
        <v>79</v>
      </c>
      <c r="D1156" s="40" t="s">
        <v>62</v>
      </c>
      <c r="E1156" s="41" t="s">
        <v>34</v>
      </c>
      <c r="F1156" s="69">
        <v>16</v>
      </c>
      <c r="G1156" s="295">
        <v>4924.6</v>
      </c>
      <c r="H1156" s="51" t="s">
        <v>63</v>
      </c>
      <c r="I1156" s="224"/>
      <c r="L1156" s="74"/>
    </row>
    <row r="1157" spans="1:12" ht="30" customHeight="1">
      <c r="A1157" s="37">
        <v>769</v>
      </c>
      <c r="B1157" s="38" t="s">
        <v>271</v>
      </c>
      <c r="C1157" s="40" t="s">
        <v>272</v>
      </c>
      <c r="D1157" s="40" t="s">
        <v>62</v>
      </c>
      <c r="E1157" s="41" t="s">
        <v>34</v>
      </c>
      <c r="F1157" s="69">
        <v>1.25</v>
      </c>
      <c r="G1157" s="295">
        <v>140.43</v>
      </c>
      <c r="H1157" s="51" t="s">
        <v>63</v>
      </c>
      <c r="I1157" s="224"/>
      <c r="L1157" s="74"/>
    </row>
    <row r="1158" spans="1:12" ht="45" customHeight="1">
      <c r="A1158" s="37">
        <v>770</v>
      </c>
      <c r="B1158" s="38" t="s">
        <v>80</v>
      </c>
      <c r="C1158" s="40" t="s">
        <v>81</v>
      </c>
      <c r="D1158" s="40" t="s">
        <v>62</v>
      </c>
      <c r="E1158" s="41" t="s">
        <v>82</v>
      </c>
      <c r="F1158" s="69">
        <f>2.7+5.4</f>
        <v>8.100000000000001</v>
      </c>
      <c r="G1158" s="295">
        <v>331.02</v>
      </c>
      <c r="H1158" s="51" t="s">
        <v>63</v>
      </c>
      <c r="I1158" s="224"/>
      <c r="L1158" s="74"/>
    </row>
    <row r="1159" spans="1:12" ht="30" customHeight="1">
      <c r="A1159" s="37">
        <v>771</v>
      </c>
      <c r="B1159" s="38" t="s">
        <v>83</v>
      </c>
      <c r="C1159" s="40" t="s">
        <v>72</v>
      </c>
      <c r="D1159" s="40" t="s">
        <v>62</v>
      </c>
      <c r="E1159" s="41" t="s">
        <v>34</v>
      </c>
      <c r="F1159" s="69">
        <v>44</v>
      </c>
      <c r="G1159" s="295">
        <v>1136</v>
      </c>
      <c r="H1159" s="51" t="s">
        <v>63</v>
      </c>
      <c r="I1159" s="224"/>
      <c r="L1159" s="74"/>
    </row>
    <row r="1160" spans="1:12" ht="30" customHeight="1">
      <c r="A1160" s="37">
        <v>772</v>
      </c>
      <c r="B1160" s="38" t="s">
        <v>220</v>
      </c>
      <c r="C1160" s="40" t="s">
        <v>221</v>
      </c>
      <c r="D1160" s="40" t="s">
        <v>62</v>
      </c>
      <c r="E1160" s="41" t="s">
        <v>34</v>
      </c>
      <c r="F1160" s="69">
        <v>25</v>
      </c>
      <c r="G1160" s="295">
        <v>329</v>
      </c>
      <c r="H1160" s="51" t="s">
        <v>63</v>
      </c>
      <c r="I1160" s="224"/>
      <c r="L1160" s="74"/>
    </row>
    <row r="1161" spans="1:12" ht="44.25" customHeight="1">
      <c r="A1161" s="37">
        <v>773</v>
      </c>
      <c r="B1161" s="38" t="s">
        <v>84</v>
      </c>
      <c r="C1161" s="40" t="s">
        <v>85</v>
      </c>
      <c r="D1161" s="40" t="s">
        <v>62</v>
      </c>
      <c r="E1161" s="41" t="s">
        <v>34</v>
      </c>
      <c r="F1161" s="69">
        <f>9.75+9.75</f>
        <v>19.5</v>
      </c>
      <c r="G1161" s="295">
        <v>2290.28</v>
      </c>
      <c r="H1161" s="51" t="s">
        <v>63</v>
      </c>
      <c r="I1161" s="224"/>
      <c r="L1161" s="74"/>
    </row>
    <row r="1162" spans="1:12" ht="30" customHeight="1">
      <c r="A1162" s="37">
        <v>774</v>
      </c>
      <c r="B1162" s="38" t="s">
        <v>665</v>
      </c>
      <c r="C1162" s="40" t="s">
        <v>666</v>
      </c>
      <c r="D1162" s="40" t="s">
        <v>62</v>
      </c>
      <c r="E1162" s="41" t="s">
        <v>34</v>
      </c>
      <c r="F1162" s="69">
        <f>41</f>
        <v>41</v>
      </c>
      <c r="G1162" s="295">
        <v>5838.72</v>
      </c>
      <c r="H1162" s="51" t="s">
        <v>63</v>
      </c>
      <c r="I1162" s="224"/>
      <c r="L1162" s="74"/>
    </row>
    <row r="1163" spans="1:12" ht="30" customHeight="1">
      <c r="A1163" s="37">
        <v>775</v>
      </c>
      <c r="B1163" s="38" t="s">
        <v>88</v>
      </c>
      <c r="C1163" s="40" t="s">
        <v>85</v>
      </c>
      <c r="D1163" s="40" t="s">
        <v>62</v>
      </c>
      <c r="E1163" s="41" t="s">
        <v>34</v>
      </c>
      <c r="F1163" s="69">
        <v>12</v>
      </c>
      <c r="G1163" s="295">
        <v>1487.4</v>
      </c>
      <c r="H1163" s="51" t="s">
        <v>63</v>
      </c>
      <c r="I1163" s="224"/>
      <c r="L1163" s="74"/>
    </row>
    <row r="1164" spans="1:12" ht="30" customHeight="1">
      <c r="A1164" s="37">
        <v>776</v>
      </c>
      <c r="B1164" s="38" t="s">
        <v>89</v>
      </c>
      <c r="C1164" s="40" t="s">
        <v>90</v>
      </c>
      <c r="D1164" s="40" t="s">
        <v>62</v>
      </c>
      <c r="E1164" s="41" t="s">
        <v>34</v>
      </c>
      <c r="F1164" s="69">
        <v>32</v>
      </c>
      <c r="G1164" s="295">
        <v>1586</v>
      </c>
      <c r="H1164" s="51" t="s">
        <v>63</v>
      </c>
      <c r="I1164" s="224"/>
      <c r="L1164" s="74"/>
    </row>
    <row r="1165" spans="1:12" ht="30" customHeight="1">
      <c r="A1165" s="37">
        <v>777</v>
      </c>
      <c r="B1165" s="38" t="s">
        <v>91</v>
      </c>
      <c r="C1165" s="40" t="s">
        <v>273</v>
      </c>
      <c r="D1165" s="40" t="s">
        <v>62</v>
      </c>
      <c r="E1165" s="41" t="s">
        <v>34</v>
      </c>
      <c r="F1165" s="69">
        <v>42</v>
      </c>
      <c r="G1165" s="295">
        <v>7020.7</v>
      </c>
      <c r="H1165" s="51" t="s">
        <v>63</v>
      </c>
      <c r="I1165" s="224"/>
      <c r="L1165" s="74"/>
    </row>
    <row r="1166" spans="1:12" ht="30" customHeight="1">
      <c r="A1166" s="37">
        <v>778</v>
      </c>
      <c r="B1166" s="38" t="s">
        <v>222</v>
      </c>
      <c r="C1166" s="40" t="s">
        <v>223</v>
      </c>
      <c r="D1166" s="40" t="s">
        <v>62</v>
      </c>
      <c r="E1166" s="41" t="s">
        <v>34</v>
      </c>
      <c r="F1166" s="69">
        <v>26</v>
      </c>
      <c r="G1166" s="295">
        <v>505.6</v>
      </c>
      <c r="H1166" s="51" t="s">
        <v>63</v>
      </c>
      <c r="I1166" s="224"/>
      <c r="L1166" s="74"/>
    </row>
    <row r="1167" spans="1:12" ht="30" customHeight="1">
      <c r="A1167" s="37">
        <v>779</v>
      </c>
      <c r="B1167" s="38" t="s">
        <v>274</v>
      </c>
      <c r="C1167" s="40" t="s">
        <v>275</v>
      </c>
      <c r="D1167" s="40" t="s">
        <v>62</v>
      </c>
      <c r="E1167" s="41" t="s">
        <v>34</v>
      </c>
      <c r="F1167" s="69">
        <v>40</v>
      </c>
      <c r="G1167" s="295">
        <v>1518</v>
      </c>
      <c r="H1167" s="51" t="s">
        <v>63</v>
      </c>
      <c r="I1167" s="224"/>
      <c r="L1167" s="74"/>
    </row>
    <row r="1168" spans="1:12" ht="30" customHeight="1">
      <c r="A1168" s="37">
        <v>780</v>
      </c>
      <c r="B1168" s="38" t="s">
        <v>93</v>
      </c>
      <c r="C1168" s="40" t="s">
        <v>94</v>
      </c>
      <c r="D1168" s="40" t="s">
        <v>62</v>
      </c>
      <c r="E1168" s="41" t="s">
        <v>34</v>
      </c>
      <c r="F1168" s="69">
        <f>1.52+12.16</f>
        <v>13.68</v>
      </c>
      <c r="G1168" s="295">
        <v>1776.73</v>
      </c>
      <c r="H1168" s="51" t="s">
        <v>63</v>
      </c>
      <c r="I1168" s="224"/>
      <c r="L1168" s="74"/>
    </row>
    <row r="1169" spans="1:12" ht="30" customHeight="1">
      <c r="A1169" s="37">
        <v>781</v>
      </c>
      <c r="B1169" s="38" t="s">
        <v>224</v>
      </c>
      <c r="C1169" s="40" t="s">
        <v>225</v>
      </c>
      <c r="D1169" s="40" t="s">
        <v>62</v>
      </c>
      <c r="E1169" s="41" t="s">
        <v>34</v>
      </c>
      <c r="F1169" s="69">
        <v>9</v>
      </c>
      <c r="G1169" s="295">
        <v>113.4</v>
      </c>
      <c r="H1169" s="51" t="s">
        <v>63</v>
      </c>
      <c r="I1169" s="224"/>
      <c r="L1169" s="74"/>
    </row>
    <row r="1170" spans="1:12" ht="30" customHeight="1">
      <c r="A1170" s="37">
        <v>782</v>
      </c>
      <c r="B1170" s="40" t="s">
        <v>226</v>
      </c>
      <c r="C1170" s="40" t="s">
        <v>227</v>
      </c>
      <c r="D1170" s="40" t="s">
        <v>62</v>
      </c>
      <c r="E1170" s="41" t="s">
        <v>34</v>
      </c>
      <c r="F1170" s="69">
        <v>11</v>
      </c>
      <c r="G1170" s="295">
        <v>1494.6</v>
      </c>
      <c r="H1170" s="51" t="s">
        <v>63</v>
      </c>
      <c r="I1170" s="224"/>
      <c r="L1170" s="74"/>
    </row>
    <row r="1171" spans="1:12" ht="30" customHeight="1">
      <c r="A1171" s="37">
        <v>783</v>
      </c>
      <c r="B1171" s="40" t="s">
        <v>276</v>
      </c>
      <c r="C1171" s="40" t="s">
        <v>277</v>
      </c>
      <c r="D1171" s="40" t="s">
        <v>62</v>
      </c>
      <c r="E1171" s="41" t="s">
        <v>34</v>
      </c>
      <c r="F1171" s="69">
        <v>7</v>
      </c>
      <c r="G1171" s="295">
        <v>1313.4</v>
      </c>
      <c r="H1171" s="51" t="s">
        <v>63</v>
      </c>
      <c r="I1171" s="224"/>
      <c r="L1171" s="74"/>
    </row>
    <row r="1172" spans="1:12" ht="30" customHeight="1">
      <c r="A1172" s="37">
        <v>784</v>
      </c>
      <c r="B1172" s="40" t="s">
        <v>95</v>
      </c>
      <c r="C1172" s="40" t="s">
        <v>96</v>
      </c>
      <c r="D1172" s="40" t="s">
        <v>62</v>
      </c>
      <c r="E1172" s="41" t="s">
        <v>34</v>
      </c>
      <c r="F1172" s="69">
        <v>62</v>
      </c>
      <c r="G1172" s="295">
        <v>12990.7</v>
      </c>
      <c r="H1172" s="51" t="s">
        <v>63</v>
      </c>
      <c r="I1172" s="224"/>
      <c r="L1172" s="74"/>
    </row>
    <row r="1173" spans="1:12" ht="30" customHeight="1">
      <c r="A1173" s="37">
        <v>785</v>
      </c>
      <c r="B1173" s="40" t="s">
        <v>667</v>
      </c>
      <c r="C1173" s="40" t="s">
        <v>668</v>
      </c>
      <c r="D1173" s="40" t="s">
        <v>62</v>
      </c>
      <c r="E1173" s="41" t="s">
        <v>34</v>
      </c>
      <c r="F1173" s="69">
        <v>29</v>
      </c>
      <c r="G1173" s="295">
        <v>6299.5</v>
      </c>
      <c r="H1173" s="51" t="s">
        <v>63</v>
      </c>
      <c r="I1173" s="224"/>
      <c r="L1173" s="74"/>
    </row>
    <row r="1174" spans="1:12" ht="45" customHeight="1">
      <c r="A1174" s="37">
        <v>786</v>
      </c>
      <c r="B1174" s="54" t="s">
        <v>98</v>
      </c>
      <c r="C1174" s="40" t="s">
        <v>61</v>
      </c>
      <c r="D1174" s="40" t="s">
        <v>62</v>
      </c>
      <c r="E1174" s="41" t="s">
        <v>25</v>
      </c>
      <c r="F1174" s="69">
        <v>255</v>
      </c>
      <c r="G1174" s="295">
        <v>3253.61</v>
      </c>
      <c r="H1174" s="51" t="s">
        <v>63</v>
      </c>
      <c r="I1174" s="224"/>
      <c r="L1174" s="74"/>
    </row>
    <row r="1175" spans="1:12" ht="30" customHeight="1">
      <c r="A1175" s="37">
        <v>787</v>
      </c>
      <c r="B1175" s="40" t="s">
        <v>99</v>
      </c>
      <c r="C1175" s="40" t="s">
        <v>100</v>
      </c>
      <c r="D1175" s="40" t="s">
        <v>62</v>
      </c>
      <c r="E1175" s="41" t="s">
        <v>34</v>
      </c>
      <c r="F1175" s="69">
        <v>13</v>
      </c>
      <c r="G1175" s="295">
        <v>3815.98</v>
      </c>
      <c r="H1175" s="51" t="s">
        <v>63</v>
      </c>
      <c r="I1175" s="224"/>
      <c r="L1175" s="74"/>
    </row>
    <row r="1176" spans="1:12" ht="30" customHeight="1">
      <c r="A1176" s="37">
        <v>788</v>
      </c>
      <c r="B1176" s="40" t="s">
        <v>228</v>
      </c>
      <c r="C1176" s="40" t="s">
        <v>229</v>
      </c>
      <c r="D1176" s="40" t="s">
        <v>62</v>
      </c>
      <c r="E1176" s="41" t="s">
        <v>34</v>
      </c>
      <c r="F1176" s="69">
        <v>40</v>
      </c>
      <c r="G1176" s="295">
        <v>1722</v>
      </c>
      <c r="H1176" s="51" t="s">
        <v>63</v>
      </c>
      <c r="I1176" s="224"/>
      <c r="L1176" s="74"/>
    </row>
    <row r="1177" spans="1:12" ht="30" customHeight="1">
      <c r="A1177" s="37">
        <v>789</v>
      </c>
      <c r="B1177" s="40" t="s">
        <v>103</v>
      </c>
      <c r="C1177" s="40" t="s">
        <v>104</v>
      </c>
      <c r="D1177" s="40" t="s">
        <v>62</v>
      </c>
      <c r="E1177" s="41" t="s">
        <v>25</v>
      </c>
      <c r="F1177" s="69">
        <v>930</v>
      </c>
      <c r="G1177" s="295">
        <v>4315.2</v>
      </c>
      <c r="H1177" s="51" t="s">
        <v>63</v>
      </c>
      <c r="I1177" s="224"/>
      <c r="L1177" s="74"/>
    </row>
    <row r="1178" spans="1:12" ht="30" customHeight="1">
      <c r="A1178" s="37">
        <v>790</v>
      </c>
      <c r="B1178" s="40" t="s">
        <v>230</v>
      </c>
      <c r="C1178" s="40" t="s">
        <v>231</v>
      </c>
      <c r="D1178" s="40" t="s">
        <v>62</v>
      </c>
      <c r="E1178" s="41" t="s">
        <v>77</v>
      </c>
      <c r="F1178" s="69">
        <v>16</v>
      </c>
      <c r="G1178" s="295">
        <v>952.6</v>
      </c>
      <c r="H1178" s="51" t="s">
        <v>63</v>
      </c>
      <c r="I1178" s="224"/>
      <c r="L1178" s="74"/>
    </row>
    <row r="1179" spans="1:12" ht="30" customHeight="1">
      <c r="A1179" s="37">
        <v>791</v>
      </c>
      <c r="B1179" s="38" t="s">
        <v>232</v>
      </c>
      <c r="C1179" s="40" t="s">
        <v>85</v>
      </c>
      <c r="D1179" s="40" t="s">
        <v>62</v>
      </c>
      <c r="E1179" s="41" t="s">
        <v>34</v>
      </c>
      <c r="F1179" s="69">
        <f>3.9+9.1</f>
        <v>13</v>
      </c>
      <c r="G1179" s="295">
        <v>1530.75</v>
      </c>
      <c r="H1179" s="51" t="s">
        <v>63</v>
      </c>
      <c r="I1179" s="224"/>
      <c r="L1179" s="74"/>
    </row>
    <row r="1180" spans="1:12" ht="30" customHeight="1">
      <c r="A1180" s="37">
        <v>792</v>
      </c>
      <c r="B1180" s="38" t="s">
        <v>105</v>
      </c>
      <c r="C1180" s="40" t="s">
        <v>70</v>
      </c>
      <c r="D1180" s="40" t="s">
        <v>62</v>
      </c>
      <c r="E1180" s="41" t="s">
        <v>34</v>
      </c>
      <c r="F1180" s="69">
        <v>30</v>
      </c>
      <c r="G1180" s="295">
        <v>997</v>
      </c>
      <c r="H1180" s="51" t="s">
        <v>63</v>
      </c>
      <c r="I1180" s="224"/>
      <c r="L1180" s="74"/>
    </row>
    <row r="1181" spans="1:12" ht="30" customHeight="1">
      <c r="A1181" s="37">
        <v>793</v>
      </c>
      <c r="B1181" s="38" t="s">
        <v>278</v>
      </c>
      <c r="C1181" s="40" t="s">
        <v>70</v>
      </c>
      <c r="D1181" s="40" t="s">
        <v>62</v>
      </c>
      <c r="E1181" s="41" t="s">
        <v>34</v>
      </c>
      <c r="F1181" s="69">
        <v>5</v>
      </c>
      <c r="G1181" s="295">
        <v>90.5</v>
      </c>
      <c r="H1181" s="51" t="s">
        <v>63</v>
      </c>
      <c r="I1181" s="224"/>
      <c r="L1181" s="74"/>
    </row>
    <row r="1182" spans="1:12" ht="45" customHeight="1">
      <c r="A1182" s="37">
        <v>794</v>
      </c>
      <c r="B1182" s="38" t="s">
        <v>60</v>
      </c>
      <c r="C1182" s="40" t="s">
        <v>61</v>
      </c>
      <c r="D1182" s="40" t="s">
        <v>62</v>
      </c>
      <c r="E1182" s="41" t="s">
        <v>34</v>
      </c>
      <c r="F1182" s="69">
        <v>3.6</v>
      </c>
      <c r="G1182" s="295">
        <v>156.96</v>
      </c>
      <c r="H1182" s="51" t="s">
        <v>63</v>
      </c>
      <c r="I1182" s="224"/>
      <c r="L1182" s="74"/>
    </row>
    <row r="1183" spans="1:12" s="10" customFormat="1" ht="30" customHeight="1">
      <c r="A1183" s="296"/>
      <c r="B1183" s="260" t="s">
        <v>106</v>
      </c>
      <c r="C1183" s="261"/>
      <c r="D1183" s="262"/>
      <c r="E1183" s="263"/>
      <c r="F1183" s="261"/>
      <c r="G1183" s="297">
        <f>SUM(G1148:G1182)</f>
        <v>76560.00000000001</v>
      </c>
      <c r="H1183" s="265"/>
      <c r="I1183" s="224"/>
      <c r="L1183" s="267"/>
    </row>
    <row r="1184" spans="1:12" ht="30" customHeight="1">
      <c r="A1184" s="37">
        <v>795</v>
      </c>
      <c r="B1184" s="38" t="s">
        <v>279</v>
      </c>
      <c r="C1184" s="40" t="s">
        <v>116</v>
      </c>
      <c r="D1184" s="40" t="s">
        <v>109</v>
      </c>
      <c r="E1184" s="41" t="s">
        <v>113</v>
      </c>
      <c r="F1184" s="50" t="s">
        <v>117</v>
      </c>
      <c r="G1184" s="295">
        <v>492</v>
      </c>
      <c r="H1184" s="137" t="s">
        <v>63</v>
      </c>
      <c r="I1184" s="224"/>
      <c r="K1184" s="12">
        <f>154</f>
        <v>154</v>
      </c>
      <c r="L1184" s="74">
        <f>G1184-K1184</f>
        <v>338</v>
      </c>
    </row>
    <row r="1185" spans="1:12" ht="30" customHeight="1">
      <c r="A1185" s="37">
        <v>796</v>
      </c>
      <c r="B1185" s="38" t="s">
        <v>236</v>
      </c>
      <c r="C1185" s="40" t="s">
        <v>119</v>
      </c>
      <c r="D1185" s="40" t="s">
        <v>109</v>
      </c>
      <c r="E1185" s="41" t="s">
        <v>120</v>
      </c>
      <c r="F1185" s="41" t="s">
        <v>280</v>
      </c>
      <c r="G1185" s="295">
        <v>3624.04</v>
      </c>
      <c r="H1185" s="137" t="s">
        <v>63</v>
      </c>
      <c r="I1185" s="224"/>
      <c r="K1185" s="12">
        <f>1164.69</f>
        <v>1164.69</v>
      </c>
      <c r="L1185" s="74">
        <f>G1185-K1185</f>
        <v>2459.35</v>
      </c>
    </row>
    <row r="1186" spans="1:12" ht="30" customHeight="1">
      <c r="A1186" s="37">
        <v>797</v>
      </c>
      <c r="B1186" s="38" t="s">
        <v>130</v>
      </c>
      <c r="C1186" s="40" t="s">
        <v>131</v>
      </c>
      <c r="D1186" s="40" t="s">
        <v>109</v>
      </c>
      <c r="E1186" s="41" t="s">
        <v>25</v>
      </c>
      <c r="F1186" s="50">
        <v>5</v>
      </c>
      <c r="G1186" s="295">
        <v>1400</v>
      </c>
      <c r="H1186" s="137" t="s">
        <v>19</v>
      </c>
      <c r="I1186" s="224"/>
      <c r="L1186" s="74">
        <f>G1186-K1186</f>
        <v>1400</v>
      </c>
    </row>
    <row r="1187" spans="1:12" ht="30" customHeight="1">
      <c r="A1187" s="37">
        <v>798</v>
      </c>
      <c r="B1187" s="38" t="s">
        <v>130</v>
      </c>
      <c r="C1187" s="40" t="s">
        <v>131</v>
      </c>
      <c r="D1187" s="40" t="s">
        <v>109</v>
      </c>
      <c r="E1187" s="41" t="s">
        <v>25</v>
      </c>
      <c r="F1187" s="50">
        <v>4</v>
      </c>
      <c r="G1187" s="295">
        <v>1120</v>
      </c>
      <c r="H1187" s="137" t="s">
        <v>132</v>
      </c>
      <c r="I1187" s="224"/>
      <c r="L1187" s="74">
        <f>G1187-K1187</f>
        <v>1120</v>
      </c>
    </row>
    <row r="1188" spans="1:12" ht="30" customHeight="1">
      <c r="A1188" s="37">
        <v>799</v>
      </c>
      <c r="B1188" s="98" t="s">
        <v>281</v>
      </c>
      <c r="C1188" s="99" t="s">
        <v>282</v>
      </c>
      <c r="D1188" s="40" t="s">
        <v>109</v>
      </c>
      <c r="E1188" s="41" t="s">
        <v>283</v>
      </c>
      <c r="F1188" s="41">
        <v>3</v>
      </c>
      <c r="G1188" s="295">
        <v>1413</v>
      </c>
      <c r="H1188" s="137" t="s">
        <v>63</v>
      </c>
      <c r="I1188" s="224"/>
      <c r="K1188" s="12">
        <f>470.96</f>
        <v>470.96</v>
      </c>
      <c r="L1188" s="74">
        <f>G1188-K1188</f>
        <v>942.04</v>
      </c>
    </row>
    <row r="1189" spans="1:12" ht="30" customHeight="1">
      <c r="A1189" s="37">
        <v>800</v>
      </c>
      <c r="B1189" s="98" t="s">
        <v>284</v>
      </c>
      <c r="C1189" s="52" t="s">
        <v>239</v>
      </c>
      <c r="D1189" s="40" t="s">
        <v>109</v>
      </c>
      <c r="E1189" s="41" t="s">
        <v>285</v>
      </c>
      <c r="F1189" s="41">
        <v>824</v>
      </c>
      <c r="G1189" s="295">
        <v>2125.92</v>
      </c>
      <c r="H1189" s="137" t="s">
        <v>63</v>
      </c>
      <c r="I1189" s="224"/>
      <c r="L1189" s="74"/>
    </row>
    <row r="1190" spans="1:12" ht="30" customHeight="1">
      <c r="A1190" s="37">
        <v>801</v>
      </c>
      <c r="B1190" s="38" t="s">
        <v>286</v>
      </c>
      <c r="C1190" s="52" t="s">
        <v>239</v>
      </c>
      <c r="D1190" s="40" t="s">
        <v>109</v>
      </c>
      <c r="E1190" s="41" t="s">
        <v>285</v>
      </c>
      <c r="F1190" s="41">
        <v>774</v>
      </c>
      <c r="G1190" s="295">
        <v>2291.04</v>
      </c>
      <c r="H1190" s="40" t="s">
        <v>63</v>
      </c>
      <c r="I1190" s="224"/>
      <c r="L1190" s="74">
        <f>G1190-K1190</f>
        <v>2291.04</v>
      </c>
    </row>
    <row r="1191" spans="1:12" s="10" customFormat="1" ht="30" customHeight="1">
      <c r="A1191" s="296"/>
      <c r="B1191" s="260" t="s">
        <v>136</v>
      </c>
      <c r="C1191" s="261"/>
      <c r="D1191" s="262"/>
      <c r="E1191" s="263"/>
      <c r="F1191" s="263"/>
      <c r="G1191" s="297">
        <f>SUM(G1184:G1190)</f>
        <v>12466</v>
      </c>
      <c r="H1191" s="265"/>
      <c r="I1191" s="224"/>
      <c r="K1191" s="267">
        <f>SUM(K1184:K1190)</f>
        <v>1789.65</v>
      </c>
      <c r="L1191" s="267" t="e">
        <f>SUM(#REF!)</f>
        <v>#REF!</v>
      </c>
    </row>
    <row r="1192" spans="1:11" ht="30" customHeight="1">
      <c r="A1192" s="37">
        <v>802</v>
      </c>
      <c r="B1192" s="38" t="s">
        <v>137</v>
      </c>
      <c r="C1192" s="52" t="s">
        <v>138</v>
      </c>
      <c r="D1192" s="40" t="s">
        <v>139</v>
      </c>
      <c r="E1192" s="41" t="s">
        <v>140</v>
      </c>
      <c r="F1192" s="53">
        <f>G1192/67.76</f>
        <v>3493.358913813459</v>
      </c>
      <c r="G1192" s="295">
        <v>236710</v>
      </c>
      <c r="H1192" s="137" t="s">
        <v>63</v>
      </c>
      <c r="I1192" s="224"/>
      <c r="K1192" s="12">
        <v>97950</v>
      </c>
    </row>
    <row r="1193" spans="1:9" s="10" customFormat="1" ht="30" customHeight="1">
      <c r="A1193" s="296"/>
      <c r="B1193" s="260" t="s">
        <v>141</v>
      </c>
      <c r="C1193" s="261"/>
      <c r="D1193" s="262"/>
      <c r="E1193" s="263"/>
      <c r="F1193" s="263"/>
      <c r="G1193" s="297">
        <f>SUM(G1192:G1192)</f>
        <v>236710</v>
      </c>
      <c r="H1193" s="265"/>
      <c r="I1193" s="224"/>
    </row>
    <row r="1194" spans="1:9" ht="30" customHeight="1">
      <c r="A1194" s="37">
        <v>803</v>
      </c>
      <c r="B1194" s="38" t="s">
        <v>244</v>
      </c>
      <c r="C1194" s="54" t="s">
        <v>245</v>
      </c>
      <c r="D1194" s="40" t="s">
        <v>246</v>
      </c>
      <c r="E1194" s="41" t="s">
        <v>110</v>
      </c>
      <c r="F1194" s="56">
        <f>G1194/12.72</f>
        <v>37.73584905660377</v>
      </c>
      <c r="G1194" s="295">
        <v>480</v>
      </c>
      <c r="H1194" s="137" t="s">
        <v>63</v>
      </c>
      <c r="I1194" s="224"/>
    </row>
    <row r="1195" spans="1:9" s="10" customFormat="1" ht="30" customHeight="1">
      <c r="A1195" s="296"/>
      <c r="B1195" s="260" t="s">
        <v>247</v>
      </c>
      <c r="C1195" s="261"/>
      <c r="D1195" s="262"/>
      <c r="E1195" s="263"/>
      <c r="F1195" s="263"/>
      <c r="G1195" s="297">
        <f>G1194</f>
        <v>480</v>
      </c>
      <c r="H1195" s="265"/>
      <c r="I1195" s="224"/>
    </row>
    <row r="1196" spans="1:11" ht="30" customHeight="1">
      <c r="A1196" s="37">
        <v>804</v>
      </c>
      <c r="B1196" s="38" t="s">
        <v>142</v>
      </c>
      <c r="C1196" s="54" t="s">
        <v>143</v>
      </c>
      <c r="D1196" s="40" t="s">
        <v>144</v>
      </c>
      <c r="E1196" s="41" t="s">
        <v>145</v>
      </c>
      <c r="F1196" s="56">
        <f>G1196/4.14243</f>
        <v>2955.753024191115</v>
      </c>
      <c r="G1196" s="295">
        <v>12244</v>
      </c>
      <c r="H1196" s="137" t="s">
        <v>63</v>
      </c>
      <c r="I1196" s="224"/>
      <c r="K1196" s="12">
        <f>3872.63+938.54</f>
        <v>4811.17</v>
      </c>
    </row>
    <row r="1197" spans="1:9" s="10" customFormat="1" ht="30" customHeight="1">
      <c r="A1197" s="296"/>
      <c r="B1197" s="260" t="s">
        <v>146</v>
      </c>
      <c r="C1197" s="261"/>
      <c r="D1197" s="262"/>
      <c r="E1197" s="263"/>
      <c r="F1197" s="263"/>
      <c r="G1197" s="297">
        <f>G1196</f>
        <v>12244</v>
      </c>
      <c r="H1197" s="265"/>
      <c r="I1197" s="224"/>
    </row>
    <row r="1198" spans="1:9" ht="22.5" customHeight="1">
      <c r="A1198" s="19"/>
      <c r="B1198" s="208" t="s">
        <v>151</v>
      </c>
      <c r="C1198" s="167"/>
      <c r="D1198" s="168"/>
      <c r="E1198" s="207"/>
      <c r="F1198" s="170"/>
      <c r="G1198" s="304"/>
      <c r="H1198" s="171"/>
      <c r="I1198" s="223"/>
    </row>
    <row r="1199" spans="1:9" ht="22.5" customHeight="1">
      <c r="A1199" s="19"/>
      <c r="B1199" s="106" t="s">
        <v>152</v>
      </c>
      <c r="C1199" s="107"/>
      <c r="D1199" s="108" t="s">
        <v>153</v>
      </c>
      <c r="E1199" s="109"/>
      <c r="F1199" s="109"/>
      <c r="G1199" s="304"/>
      <c r="H1199" s="171"/>
      <c r="I1199" s="223"/>
    </row>
    <row r="1200" spans="1:9" s="8" customFormat="1" ht="22.5" customHeight="1">
      <c r="A1200" s="19"/>
      <c r="B1200" s="111"/>
      <c r="C1200" s="9"/>
      <c r="D1200" s="112" t="s">
        <v>154</v>
      </c>
      <c r="E1200" s="113" t="s">
        <v>155</v>
      </c>
      <c r="F1200" s="114"/>
      <c r="G1200" s="304"/>
      <c r="H1200" s="171"/>
      <c r="I1200" s="223"/>
    </row>
    <row r="1201" spans="1:9" s="8" customFormat="1" ht="22.5" customHeight="1">
      <c r="A1201" s="19"/>
      <c r="B1201" s="115" t="s">
        <v>156</v>
      </c>
      <c r="C1201" s="116"/>
      <c r="D1201" s="108" t="s">
        <v>157</v>
      </c>
      <c r="E1201" s="109"/>
      <c r="F1201" s="109"/>
      <c r="G1201" s="304"/>
      <c r="H1201" s="171"/>
      <c r="I1201" s="223"/>
    </row>
    <row r="1202" spans="1:9" ht="22.5" customHeight="1">
      <c r="A1202" s="19"/>
      <c r="B1202" s="111"/>
      <c r="C1202" s="9"/>
      <c r="D1202" s="112" t="s">
        <v>154</v>
      </c>
      <c r="E1202" s="113"/>
      <c r="F1202" s="114"/>
      <c r="G1202" s="304"/>
      <c r="H1202" s="8"/>
      <c r="I1202" s="141"/>
    </row>
    <row r="1203" spans="1:9" s="8" customFormat="1" ht="22.5" customHeight="1">
      <c r="A1203" s="19"/>
      <c r="B1203" s="115" t="s">
        <v>158</v>
      </c>
      <c r="C1203" s="9"/>
      <c r="D1203" s="9"/>
      <c r="E1203" s="9"/>
      <c r="F1203" s="9"/>
      <c r="G1203" s="304"/>
      <c r="H1203" s="171"/>
      <c r="I1203" s="223"/>
    </row>
    <row r="1204" spans="1:9" s="2" customFormat="1" ht="30" customHeight="1">
      <c r="A1204" s="169"/>
      <c r="B1204" s="229" t="s">
        <v>159</v>
      </c>
      <c r="C1204" s="167"/>
      <c r="D1204" s="291" t="s">
        <v>160</v>
      </c>
      <c r="E1204" s="229"/>
      <c r="F1204" s="170"/>
      <c r="G1204" s="307"/>
      <c r="H1204" s="171"/>
      <c r="I1204" s="326"/>
    </row>
    <row r="1205" spans="1:9" ht="22.5" customHeight="1">
      <c r="A1205" s="19"/>
      <c r="B1205" s="230" t="s">
        <v>161</v>
      </c>
      <c r="C1205" s="167"/>
      <c r="D1205" s="168"/>
      <c r="E1205" s="207"/>
      <c r="F1205" s="170"/>
      <c r="G1205" s="304"/>
      <c r="H1205" s="171"/>
      <c r="I1205" s="223"/>
    </row>
    <row r="1206" spans="1:9" ht="67.5" customHeight="1">
      <c r="A1206" s="19"/>
      <c r="B1206" s="8" t="s">
        <v>0</v>
      </c>
      <c r="C1206" s="20"/>
      <c r="D1206" s="21"/>
      <c r="E1206" s="22"/>
      <c r="F1206" s="23" t="s">
        <v>1</v>
      </c>
      <c r="G1206" s="23"/>
      <c r="H1206" s="21"/>
      <c r="I1206" s="70"/>
    </row>
    <row r="1207" spans="1:9" ht="45" customHeight="1">
      <c r="A1207" s="317" t="s">
        <v>162</v>
      </c>
      <c r="B1207" s="317"/>
      <c r="C1207" s="317"/>
      <c r="D1207" s="317"/>
      <c r="E1207" s="317"/>
      <c r="F1207" s="317"/>
      <c r="G1207" s="317"/>
      <c r="H1207" s="317"/>
      <c r="I1207" s="317"/>
    </row>
    <row r="1208" spans="1:9" s="7" customFormat="1" ht="29.25" customHeight="1" hidden="1">
      <c r="A1208" s="35" t="s">
        <v>683</v>
      </c>
      <c r="B1208" s="173"/>
      <c r="C1208" s="173"/>
      <c r="D1208" s="173"/>
      <c r="E1208" s="173"/>
      <c r="F1208" s="173"/>
      <c r="G1208" s="173"/>
      <c r="H1208" s="173"/>
      <c r="I1208" s="173"/>
    </row>
    <row r="1209" spans="3:9" ht="15" customHeight="1">
      <c r="C1209" s="145"/>
      <c r="D1209" s="60" t="s">
        <v>4</v>
      </c>
      <c r="E1209" s="145"/>
      <c r="F1209" s="145"/>
      <c r="G1209" s="309"/>
      <c r="H1209" s="61"/>
      <c r="I1209" s="61"/>
    </row>
    <row r="1210" ht="15" customHeight="1"/>
    <row r="1211" spans="1:11" ht="15.75" customHeight="1">
      <c r="A1211" s="26" t="s">
        <v>5</v>
      </c>
      <c r="B1211" s="27" t="s">
        <v>6</v>
      </c>
      <c r="C1211" s="28" t="s">
        <v>7</v>
      </c>
      <c r="D1211" s="63" t="s">
        <v>8</v>
      </c>
      <c r="E1211" s="28" t="s">
        <v>9</v>
      </c>
      <c r="F1211" s="28" t="s">
        <v>10</v>
      </c>
      <c r="G1211" s="63" t="s">
        <v>11</v>
      </c>
      <c r="H1211" s="63" t="s">
        <v>12</v>
      </c>
      <c r="I1211" s="63" t="s">
        <v>13</v>
      </c>
      <c r="J1211" s="71"/>
      <c r="K1211" s="71"/>
    </row>
    <row r="1212" spans="1:9" ht="31.5" customHeight="1">
      <c r="A1212" s="29"/>
      <c r="B1212" s="30"/>
      <c r="C1212" s="31"/>
      <c r="D1212" s="65"/>
      <c r="E1212" s="31"/>
      <c r="F1212" s="31"/>
      <c r="G1212" s="65"/>
      <c r="H1212" s="65"/>
      <c r="I1212" s="65"/>
    </row>
    <row r="1213" spans="1:9" ht="37.5" customHeight="1">
      <c r="A1213" s="32"/>
      <c r="B1213" s="33"/>
      <c r="C1213" s="34"/>
      <c r="D1213" s="67"/>
      <c r="E1213" s="34"/>
      <c r="F1213" s="34"/>
      <c r="G1213" s="67"/>
      <c r="H1213" s="67"/>
      <c r="I1213" s="67"/>
    </row>
    <row r="1214" spans="1:9" ht="20.25" customHeight="1">
      <c r="A1214" s="32">
        <v>1</v>
      </c>
      <c r="B1214" s="33">
        <v>2</v>
      </c>
      <c r="C1214" s="34">
        <v>3</v>
      </c>
      <c r="D1214" s="67">
        <v>4</v>
      </c>
      <c r="E1214" s="34">
        <v>5</v>
      </c>
      <c r="F1214" s="34">
        <v>6</v>
      </c>
      <c r="G1214" s="67">
        <v>7</v>
      </c>
      <c r="H1214" s="67">
        <v>8</v>
      </c>
      <c r="I1214" s="76">
        <v>9</v>
      </c>
    </row>
    <row r="1215" spans="1:12" ht="30" customHeight="1">
      <c r="A1215" s="269">
        <v>805</v>
      </c>
      <c r="B1215" s="98" t="s">
        <v>15</v>
      </c>
      <c r="C1215" s="94" t="s">
        <v>16</v>
      </c>
      <c r="D1215" s="137" t="s">
        <v>17</v>
      </c>
      <c r="E1215" s="138" t="s">
        <v>18</v>
      </c>
      <c r="F1215" s="138">
        <v>15</v>
      </c>
      <c r="G1215" s="272">
        <v>3150</v>
      </c>
      <c r="H1215" s="276" t="s">
        <v>63</v>
      </c>
      <c r="I1215" s="73" t="s">
        <v>253</v>
      </c>
      <c r="L1215" s="74">
        <f>G1215-K1215</f>
        <v>3150</v>
      </c>
    </row>
    <row r="1216" spans="1:12" ht="60" customHeight="1">
      <c r="A1216" s="269">
        <v>806</v>
      </c>
      <c r="B1216" s="98" t="s">
        <v>163</v>
      </c>
      <c r="C1216" s="277" t="s">
        <v>164</v>
      </c>
      <c r="D1216" s="137" t="s">
        <v>17</v>
      </c>
      <c r="E1216" s="138" t="s">
        <v>165</v>
      </c>
      <c r="F1216" s="138">
        <v>1</v>
      </c>
      <c r="G1216" s="272">
        <v>660.02</v>
      </c>
      <c r="H1216" s="276" t="s">
        <v>63</v>
      </c>
      <c r="I1216" s="100"/>
      <c r="L1216" s="74"/>
    </row>
    <row r="1217" spans="1:12" ht="30" customHeight="1">
      <c r="A1217" s="269">
        <v>807</v>
      </c>
      <c r="B1217" s="98" t="s">
        <v>166</v>
      </c>
      <c r="C1217" s="277" t="s">
        <v>16</v>
      </c>
      <c r="D1217" s="137" t="s">
        <v>17</v>
      </c>
      <c r="E1217" s="138" t="s">
        <v>25</v>
      </c>
      <c r="F1217" s="138">
        <v>20</v>
      </c>
      <c r="G1217" s="272">
        <v>404.6</v>
      </c>
      <c r="H1217" s="276" t="s">
        <v>63</v>
      </c>
      <c r="I1217" s="100"/>
      <c r="L1217" s="74"/>
    </row>
    <row r="1218" spans="1:12" ht="45" customHeight="1">
      <c r="A1218" s="269">
        <v>808</v>
      </c>
      <c r="B1218" s="98" t="s">
        <v>167</v>
      </c>
      <c r="C1218" s="277" t="s">
        <v>168</v>
      </c>
      <c r="D1218" s="137" t="s">
        <v>17</v>
      </c>
      <c r="E1218" s="138" t="s">
        <v>25</v>
      </c>
      <c r="F1218" s="138">
        <v>6</v>
      </c>
      <c r="G1218" s="272">
        <v>518.88</v>
      </c>
      <c r="H1218" s="276" t="s">
        <v>63</v>
      </c>
      <c r="I1218" s="100"/>
      <c r="L1218" s="74"/>
    </row>
    <row r="1219" spans="1:12" ht="30" customHeight="1">
      <c r="A1219" s="269">
        <v>809</v>
      </c>
      <c r="B1219" s="98" t="s">
        <v>169</v>
      </c>
      <c r="C1219" s="277" t="s">
        <v>24</v>
      </c>
      <c r="D1219" s="137" t="s">
        <v>17</v>
      </c>
      <c r="E1219" s="138" t="s">
        <v>25</v>
      </c>
      <c r="F1219" s="138">
        <v>11</v>
      </c>
      <c r="G1219" s="272">
        <v>157.63</v>
      </c>
      <c r="H1219" s="276" t="s">
        <v>63</v>
      </c>
      <c r="I1219" s="100"/>
      <c r="L1219" s="74"/>
    </row>
    <row r="1220" spans="1:12" ht="30" customHeight="1">
      <c r="A1220" s="269">
        <v>810</v>
      </c>
      <c r="B1220" s="98" t="s">
        <v>170</v>
      </c>
      <c r="C1220" s="277" t="s">
        <v>171</v>
      </c>
      <c r="D1220" s="137" t="s">
        <v>17</v>
      </c>
      <c r="E1220" s="138" t="s">
        <v>25</v>
      </c>
      <c r="F1220" s="138">
        <v>10</v>
      </c>
      <c r="G1220" s="272">
        <v>190.2</v>
      </c>
      <c r="H1220" s="276" t="s">
        <v>63</v>
      </c>
      <c r="I1220" s="100"/>
      <c r="L1220" s="74"/>
    </row>
    <row r="1221" spans="1:12" ht="30" customHeight="1">
      <c r="A1221" s="269">
        <v>811</v>
      </c>
      <c r="B1221" s="98" t="s">
        <v>172</v>
      </c>
      <c r="C1221" s="277" t="s">
        <v>24</v>
      </c>
      <c r="D1221" s="137" t="s">
        <v>17</v>
      </c>
      <c r="E1221" s="138" t="s">
        <v>25</v>
      </c>
      <c r="F1221" s="138">
        <v>1</v>
      </c>
      <c r="G1221" s="272">
        <v>124.06</v>
      </c>
      <c r="H1221" s="276" t="s">
        <v>63</v>
      </c>
      <c r="I1221" s="100"/>
      <c r="L1221" s="74"/>
    </row>
    <row r="1222" spans="1:12" ht="60" customHeight="1">
      <c r="A1222" s="269">
        <v>812</v>
      </c>
      <c r="B1222" s="98" t="s">
        <v>173</v>
      </c>
      <c r="C1222" s="277" t="s">
        <v>21</v>
      </c>
      <c r="D1222" s="137" t="s">
        <v>17</v>
      </c>
      <c r="E1222" s="138" t="s">
        <v>165</v>
      </c>
      <c r="F1222" s="138">
        <v>2</v>
      </c>
      <c r="G1222" s="272">
        <v>740.88</v>
      </c>
      <c r="H1222" s="276" t="s">
        <v>63</v>
      </c>
      <c r="I1222" s="100"/>
      <c r="L1222" s="74"/>
    </row>
    <row r="1223" spans="1:12" ht="30" customHeight="1">
      <c r="A1223" s="269">
        <v>813</v>
      </c>
      <c r="B1223" s="98" t="s">
        <v>174</v>
      </c>
      <c r="C1223" s="277" t="s">
        <v>24</v>
      </c>
      <c r="D1223" s="137" t="s">
        <v>17</v>
      </c>
      <c r="E1223" s="138" t="s">
        <v>25</v>
      </c>
      <c r="F1223" s="138">
        <v>4</v>
      </c>
      <c r="G1223" s="272">
        <v>697.96</v>
      </c>
      <c r="H1223" s="276" t="s">
        <v>63</v>
      </c>
      <c r="I1223" s="100"/>
      <c r="L1223" s="74"/>
    </row>
    <row r="1224" spans="1:12" ht="30" customHeight="1">
      <c r="A1224" s="269">
        <v>814</v>
      </c>
      <c r="B1224" s="98" t="s">
        <v>175</v>
      </c>
      <c r="C1224" s="277" t="s">
        <v>16</v>
      </c>
      <c r="D1224" s="137" t="s">
        <v>17</v>
      </c>
      <c r="E1224" s="138" t="s">
        <v>25</v>
      </c>
      <c r="F1224" s="138">
        <v>20</v>
      </c>
      <c r="G1224" s="272">
        <v>264.8</v>
      </c>
      <c r="H1224" s="276" t="s">
        <v>63</v>
      </c>
      <c r="I1224" s="100"/>
      <c r="L1224" s="74"/>
    </row>
    <row r="1225" spans="1:12" ht="30" customHeight="1">
      <c r="A1225" s="269">
        <v>815</v>
      </c>
      <c r="B1225" s="98" t="s">
        <v>176</v>
      </c>
      <c r="C1225" s="277" t="s">
        <v>16</v>
      </c>
      <c r="D1225" s="137" t="s">
        <v>17</v>
      </c>
      <c r="E1225" s="138" t="s">
        <v>25</v>
      </c>
      <c r="F1225" s="138">
        <v>10</v>
      </c>
      <c r="G1225" s="272">
        <v>200</v>
      </c>
      <c r="H1225" s="276" t="s">
        <v>63</v>
      </c>
      <c r="I1225" s="100"/>
      <c r="L1225" s="74"/>
    </row>
    <row r="1226" spans="1:12" ht="30" customHeight="1">
      <c r="A1226" s="269">
        <v>816</v>
      </c>
      <c r="B1226" s="98" t="s">
        <v>177</v>
      </c>
      <c r="C1226" s="277" t="s">
        <v>16</v>
      </c>
      <c r="D1226" s="137" t="s">
        <v>17</v>
      </c>
      <c r="E1226" s="138" t="s">
        <v>25</v>
      </c>
      <c r="F1226" s="138">
        <v>100</v>
      </c>
      <c r="G1226" s="272">
        <v>288</v>
      </c>
      <c r="H1226" s="276" t="s">
        <v>63</v>
      </c>
      <c r="I1226" s="100"/>
      <c r="L1226" s="74"/>
    </row>
    <row r="1227" spans="1:12" ht="30" customHeight="1">
      <c r="A1227" s="269">
        <v>817</v>
      </c>
      <c r="B1227" s="98" t="s">
        <v>178</v>
      </c>
      <c r="C1227" s="277" t="s">
        <v>179</v>
      </c>
      <c r="D1227" s="137" t="s">
        <v>17</v>
      </c>
      <c r="E1227" s="138" t="s">
        <v>25</v>
      </c>
      <c r="F1227" s="138">
        <v>2</v>
      </c>
      <c r="G1227" s="272">
        <v>199.84</v>
      </c>
      <c r="H1227" s="276" t="s">
        <v>63</v>
      </c>
      <c r="I1227" s="100"/>
      <c r="L1227" s="74"/>
    </row>
    <row r="1228" spans="1:12" ht="30" customHeight="1">
      <c r="A1228" s="269">
        <v>818</v>
      </c>
      <c r="B1228" s="98" t="s">
        <v>180</v>
      </c>
      <c r="C1228" s="277" t="s">
        <v>31</v>
      </c>
      <c r="D1228" s="137" t="s">
        <v>17</v>
      </c>
      <c r="E1228" s="138" t="s">
        <v>165</v>
      </c>
      <c r="F1228" s="138">
        <v>10</v>
      </c>
      <c r="G1228" s="272">
        <v>262.6</v>
      </c>
      <c r="H1228" s="276" t="s">
        <v>63</v>
      </c>
      <c r="I1228" s="100"/>
      <c r="L1228" s="74"/>
    </row>
    <row r="1229" spans="1:12" ht="30" customHeight="1">
      <c r="A1229" s="269">
        <v>819</v>
      </c>
      <c r="B1229" s="98" t="s">
        <v>181</v>
      </c>
      <c r="C1229" s="277" t="s">
        <v>24</v>
      </c>
      <c r="D1229" s="137" t="s">
        <v>17</v>
      </c>
      <c r="E1229" s="138" t="s">
        <v>165</v>
      </c>
      <c r="F1229" s="138">
        <v>10</v>
      </c>
      <c r="G1229" s="272">
        <v>356.8</v>
      </c>
      <c r="H1229" s="276" t="s">
        <v>63</v>
      </c>
      <c r="I1229" s="100"/>
      <c r="L1229" s="74"/>
    </row>
    <row r="1230" spans="1:12" ht="30" customHeight="1">
      <c r="A1230" s="269">
        <v>820</v>
      </c>
      <c r="B1230" s="98" t="s">
        <v>182</v>
      </c>
      <c r="C1230" s="277" t="s">
        <v>183</v>
      </c>
      <c r="D1230" s="137" t="s">
        <v>17</v>
      </c>
      <c r="E1230" s="138" t="s">
        <v>184</v>
      </c>
      <c r="F1230" s="138">
        <v>80</v>
      </c>
      <c r="G1230" s="272">
        <v>7060</v>
      </c>
      <c r="H1230" s="276" t="s">
        <v>63</v>
      </c>
      <c r="I1230" s="100"/>
      <c r="L1230" s="74"/>
    </row>
    <row r="1231" spans="1:12" ht="30" customHeight="1">
      <c r="A1231" s="269">
        <v>821</v>
      </c>
      <c r="B1231" s="98" t="s">
        <v>185</v>
      </c>
      <c r="C1231" s="277" t="s">
        <v>44</v>
      </c>
      <c r="D1231" s="137" t="s">
        <v>17</v>
      </c>
      <c r="E1231" s="138" t="s">
        <v>25</v>
      </c>
      <c r="F1231" s="138">
        <v>12</v>
      </c>
      <c r="G1231" s="272">
        <v>240</v>
      </c>
      <c r="H1231" s="276" t="s">
        <v>63</v>
      </c>
      <c r="I1231" s="100"/>
      <c r="L1231" s="74"/>
    </row>
    <row r="1232" spans="1:12" ht="30" customHeight="1">
      <c r="A1232" s="269">
        <v>822</v>
      </c>
      <c r="B1232" s="98" t="s">
        <v>186</v>
      </c>
      <c r="C1232" s="277" t="s">
        <v>179</v>
      </c>
      <c r="D1232" s="137" t="s">
        <v>17</v>
      </c>
      <c r="E1232" s="138" t="s">
        <v>25</v>
      </c>
      <c r="F1232" s="138">
        <v>4</v>
      </c>
      <c r="G1232" s="272">
        <v>472.72</v>
      </c>
      <c r="H1232" s="276" t="s">
        <v>63</v>
      </c>
      <c r="I1232" s="100"/>
      <c r="L1232" s="74"/>
    </row>
    <row r="1233" spans="1:12" ht="30" customHeight="1">
      <c r="A1233" s="269">
        <v>823</v>
      </c>
      <c r="B1233" s="98" t="s">
        <v>187</v>
      </c>
      <c r="C1233" s="277" t="s">
        <v>24</v>
      </c>
      <c r="D1233" s="137" t="s">
        <v>17</v>
      </c>
      <c r="E1233" s="138" t="s">
        <v>25</v>
      </c>
      <c r="F1233" s="138">
        <v>2</v>
      </c>
      <c r="G1233" s="272">
        <v>360</v>
      </c>
      <c r="H1233" s="276" t="s">
        <v>63</v>
      </c>
      <c r="I1233" s="100"/>
      <c r="L1233" s="74"/>
    </row>
    <row r="1234" spans="1:12" ht="30" customHeight="1">
      <c r="A1234" s="269">
        <v>824</v>
      </c>
      <c r="B1234" s="98" t="s">
        <v>188</v>
      </c>
      <c r="C1234" s="277" t="s">
        <v>24</v>
      </c>
      <c r="D1234" s="137" t="s">
        <v>17</v>
      </c>
      <c r="E1234" s="138" t="s">
        <v>25</v>
      </c>
      <c r="F1234" s="138">
        <v>2</v>
      </c>
      <c r="G1234" s="272">
        <v>293.18</v>
      </c>
      <c r="H1234" s="276" t="s">
        <v>63</v>
      </c>
      <c r="I1234" s="100"/>
      <c r="L1234" s="74"/>
    </row>
    <row r="1235" spans="1:12" ht="30" customHeight="1">
      <c r="A1235" s="269">
        <v>825</v>
      </c>
      <c r="B1235" s="98" t="s">
        <v>189</v>
      </c>
      <c r="C1235" s="277" t="s">
        <v>44</v>
      </c>
      <c r="D1235" s="137" t="s">
        <v>17</v>
      </c>
      <c r="E1235" s="138" t="s">
        <v>25</v>
      </c>
      <c r="F1235" s="138">
        <v>1</v>
      </c>
      <c r="G1235" s="272">
        <v>413</v>
      </c>
      <c r="H1235" s="276" t="s">
        <v>63</v>
      </c>
      <c r="I1235" s="100"/>
      <c r="L1235" s="74"/>
    </row>
    <row r="1236" spans="1:12" ht="30" customHeight="1">
      <c r="A1236" s="269">
        <v>826</v>
      </c>
      <c r="B1236" s="98" t="s">
        <v>190</v>
      </c>
      <c r="C1236" s="277" t="s">
        <v>191</v>
      </c>
      <c r="D1236" s="137" t="s">
        <v>17</v>
      </c>
      <c r="E1236" s="138" t="s">
        <v>25</v>
      </c>
      <c r="F1236" s="138">
        <v>1</v>
      </c>
      <c r="G1236" s="272">
        <v>427</v>
      </c>
      <c r="H1236" s="276" t="s">
        <v>63</v>
      </c>
      <c r="I1236" s="100"/>
      <c r="L1236" s="74"/>
    </row>
    <row r="1237" spans="1:12" ht="30" customHeight="1">
      <c r="A1237" s="269">
        <v>827</v>
      </c>
      <c r="B1237" s="98" t="s">
        <v>192</v>
      </c>
      <c r="C1237" s="277" t="s">
        <v>33</v>
      </c>
      <c r="D1237" s="137" t="s">
        <v>17</v>
      </c>
      <c r="E1237" s="138" t="s">
        <v>193</v>
      </c>
      <c r="F1237" s="138">
        <v>60</v>
      </c>
      <c r="G1237" s="272">
        <v>7200</v>
      </c>
      <c r="H1237" s="276" t="s">
        <v>63</v>
      </c>
      <c r="I1237" s="100"/>
      <c r="L1237" s="74"/>
    </row>
    <row r="1238" spans="1:12" ht="30" customHeight="1">
      <c r="A1238" s="269">
        <v>828</v>
      </c>
      <c r="B1238" s="98" t="s">
        <v>194</v>
      </c>
      <c r="C1238" s="277" t="s">
        <v>52</v>
      </c>
      <c r="D1238" s="137" t="s">
        <v>17</v>
      </c>
      <c r="E1238" s="138" t="s">
        <v>25</v>
      </c>
      <c r="F1238" s="138">
        <v>50</v>
      </c>
      <c r="G1238" s="272">
        <v>930.5</v>
      </c>
      <c r="H1238" s="276" t="s">
        <v>63</v>
      </c>
      <c r="I1238" s="100"/>
      <c r="L1238" s="74"/>
    </row>
    <row r="1239" spans="1:12" ht="30" customHeight="1">
      <c r="A1239" s="269">
        <v>829</v>
      </c>
      <c r="B1239" s="98" t="s">
        <v>195</v>
      </c>
      <c r="C1239" s="277" t="s">
        <v>47</v>
      </c>
      <c r="D1239" s="137" t="s">
        <v>17</v>
      </c>
      <c r="E1239" s="138" t="s">
        <v>48</v>
      </c>
      <c r="F1239" s="138">
        <v>12</v>
      </c>
      <c r="G1239" s="272">
        <v>664.92</v>
      </c>
      <c r="H1239" s="276" t="s">
        <v>63</v>
      </c>
      <c r="I1239" s="100"/>
      <c r="L1239" s="74"/>
    </row>
    <row r="1240" spans="1:12" ht="30" customHeight="1">
      <c r="A1240" s="269">
        <v>830</v>
      </c>
      <c r="B1240" s="98" t="s">
        <v>196</v>
      </c>
      <c r="C1240" s="277" t="s">
        <v>197</v>
      </c>
      <c r="D1240" s="137" t="s">
        <v>17</v>
      </c>
      <c r="E1240" s="138" t="s">
        <v>25</v>
      </c>
      <c r="F1240" s="138">
        <v>100</v>
      </c>
      <c r="G1240" s="272">
        <v>63</v>
      </c>
      <c r="H1240" s="276" t="s">
        <v>63</v>
      </c>
      <c r="I1240" s="100"/>
      <c r="L1240" s="74"/>
    </row>
    <row r="1241" spans="1:12" ht="30" customHeight="1">
      <c r="A1241" s="269">
        <v>831</v>
      </c>
      <c r="B1241" s="98" t="s">
        <v>198</v>
      </c>
      <c r="C1241" s="277" t="s">
        <v>197</v>
      </c>
      <c r="D1241" s="137" t="s">
        <v>17</v>
      </c>
      <c r="E1241" s="138" t="s">
        <v>25</v>
      </c>
      <c r="F1241" s="138">
        <v>100</v>
      </c>
      <c r="G1241" s="272">
        <v>65</v>
      </c>
      <c r="H1241" s="276" t="s">
        <v>63</v>
      </c>
      <c r="I1241" s="100"/>
      <c r="L1241" s="74"/>
    </row>
    <row r="1242" spans="1:12" ht="30" customHeight="1">
      <c r="A1242" s="269">
        <v>832</v>
      </c>
      <c r="B1242" s="98" t="s">
        <v>199</v>
      </c>
      <c r="C1242" s="277" t="s">
        <v>200</v>
      </c>
      <c r="D1242" s="137" t="s">
        <v>17</v>
      </c>
      <c r="E1242" s="138" t="s">
        <v>25</v>
      </c>
      <c r="F1242" s="138">
        <v>15</v>
      </c>
      <c r="G1242" s="272">
        <v>3015</v>
      </c>
      <c r="H1242" s="276" t="s">
        <v>63</v>
      </c>
      <c r="I1242" s="100"/>
      <c r="L1242" s="74"/>
    </row>
    <row r="1243" spans="1:12" ht="59.25" customHeight="1">
      <c r="A1243" s="269">
        <v>833</v>
      </c>
      <c r="B1243" s="98" t="s">
        <v>201</v>
      </c>
      <c r="C1243" s="277" t="s">
        <v>21</v>
      </c>
      <c r="D1243" s="137" t="s">
        <v>17</v>
      </c>
      <c r="E1243" s="138" t="s">
        <v>25</v>
      </c>
      <c r="F1243" s="138">
        <v>1</v>
      </c>
      <c r="G1243" s="272">
        <v>90.92</v>
      </c>
      <c r="H1243" s="276" t="s">
        <v>63</v>
      </c>
      <c r="I1243" s="100"/>
      <c r="L1243" s="74"/>
    </row>
    <row r="1244" spans="1:12" ht="30" customHeight="1">
      <c r="A1244" s="269">
        <v>834</v>
      </c>
      <c r="B1244" s="98" t="s">
        <v>202</v>
      </c>
      <c r="C1244" s="99" t="s">
        <v>27</v>
      </c>
      <c r="D1244" s="137" t="s">
        <v>17</v>
      </c>
      <c r="E1244" s="138" t="s">
        <v>25</v>
      </c>
      <c r="F1244" s="138">
        <v>20</v>
      </c>
      <c r="G1244" s="272">
        <v>1187</v>
      </c>
      <c r="H1244" s="276" t="s">
        <v>63</v>
      </c>
      <c r="I1244" s="100"/>
      <c r="L1244" s="74">
        <f>G1244-K1244</f>
        <v>1187</v>
      </c>
    </row>
    <row r="1245" spans="1:12" ht="45" customHeight="1">
      <c r="A1245" s="269">
        <v>835</v>
      </c>
      <c r="B1245" s="98" t="s">
        <v>684</v>
      </c>
      <c r="C1245" s="277" t="s">
        <v>204</v>
      </c>
      <c r="D1245" s="99" t="s">
        <v>17</v>
      </c>
      <c r="E1245" s="162" t="s">
        <v>205</v>
      </c>
      <c r="F1245" s="280">
        <v>62.54</v>
      </c>
      <c r="G1245" s="279">
        <v>165542.15</v>
      </c>
      <c r="H1245" s="276" t="s">
        <v>63</v>
      </c>
      <c r="I1245" s="100"/>
      <c r="L1245" s="74"/>
    </row>
    <row r="1246" spans="1:12" ht="45" customHeight="1">
      <c r="A1246" s="269">
        <v>836</v>
      </c>
      <c r="B1246" s="98" t="s">
        <v>213</v>
      </c>
      <c r="C1246" s="277" t="s">
        <v>214</v>
      </c>
      <c r="D1246" s="99" t="s">
        <v>17</v>
      </c>
      <c r="E1246" s="162" t="s">
        <v>193</v>
      </c>
      <c r="F1246" s="282">
        <v>190</v>
      </c>
      <c r="G1246" s="279">
        <v>3230</v>
      </c>
      <c r="H1246" s="276" t="s">
        <v>63</v>
      </c>
      <c r="I1246" s="100"/>
      <c r="L1246" s="74"/>
    </row>
    <row r="1247" spans="1:12" ht="30" customHeight="1">
      <c r="A1247" s="269">
        <v>837</v>
      </c>
      <c r="B1247" s="38" t="s">
        <v>57</v>
      </c>
      <c r="C1247" s="40" t="s">
        <v>58</v>
      </c>
      <c r="D1247" s="40" t="s">
        <v>17</v>
      </c>
      <c r="E1247" s="41" t="s">
        <v>25</v>
      </c>
      <c r="F1247" s="41">
        <v>1</v>
      </c>
      <c r="G1247" s="42">
        <v>2500.2</v>
      </c>
      <c r="H1247" s="155" t="s">
        <v>63</v>
      </c>
      <c r="I1247" s="100"/>
      <c r="L1247" s="74"/>
    </row>
    <row r="1248" spans="1:12" ht="43.5" customHeight="1">
      <c r="A1248" s="269">
        <v>838</v>
      </c>
      <c r="B1248" s="98" t="s">
        <v>215</v>
      </c>
      <c r="C1248" s="99" t="s">
        <v>27</v>
      </c>
      <c r="D1248" s="40" t="s">
        <v>17</v>
      </c>
      <c r="E1248" s="41" t="s">
        <v>25</v>
      </c>
      <c r="F1248" s="41">
        <v>3</v>
      </c>
      <c r="G1248" s="295">
        <v>529.14</v>
      </c>
      <c r="H1248" s="276" t="s">
        <v>63</v>
      </c>
      <c r="I1248" s="100"/>
      <c r="L1248" s="74"/>
    </row>
    <row r="1249" spans="1:12" s="10" customFormat="1" ht="30" customHeight="1">
      <c r="A1249" s="296"/>
      <c r="B1249" s="335" t="s">
        <v>59</v>
      </c>
      <c r="C1249" s="336"/>
      <c r="D1249" s="262"/>
      <c r="E1249" s="263"/>
      <c r="F1249" s="263"/>
      <c r="G1249" s="337">
        <f>SUM(G1215:G1248)</f>
        <v>202500</v>
      </c>
      <c r="H1249" s="265"/>
      <c r="I1249" s="100"/>
      <c r="L1249" s="267"/>
    </row>
    <row r="1250" spans="1:12" ht="30" customHeight="1">
      <c r="A1250" s="37">
        <v>839</v>
      </c>
      <c r="B1250" s="38" t="s">
        <v>216</v>
      </c>
      <c r="C1250" s="40" t="s">
        <v>217</v>
      </c>
      <c r="D1250" s="40" t="s">
        <v>62</v>
      </c>
      <c r="E1250" s="41" t="s">
        <v>34</v>
      </c>
      <c r="F1250" s="222">
        <v>12</v>
      </c>
      <c r="G1250" s="324">
        <f>83.6+146.4</f>
        <v>230</v>
      </c>
      <c r="H1250" s="276" t="s">
        <v>63</v>
      </c>
      <c r="I1250" s="100"/>
      <c r="L1250" s="74"/>
    </row>
    <row r="1251" spans="1:12" ht="30" customHeight="1">
      <c r="A1251" s="37">
        <v>840</v>
      </c>
      <c r="B1251" s="38" t="s">
        <v>64</v>
      </c>
      <c r="C1251" s="40" t="s">
        <v>65</v>
      </c>
      <c r="D1251" s="40" t="s">
        <v>62</v>
      </c>
      <c r="E1251" s="41" t="s">
        <v>34</v>
      </c>
      <c r="F1251" s="222">
        <v>300</v>
      </c>
      <c r="G1251" s="324">
        <f>1750+3360</f>
        <v>5110</v>
      </c>
      <c r="H1251" s="276" t="s">
        <v>63</v>
      </c>
      <c r="I1251" s="100"/>
      <c r="L1251" s="74"/>
    </row>
    <row r="1252" spans="1:12" ht="30" customHeight="1">
      <c r="A1252" s="37">
        <v>841</v>
      </c>
      <c r="B1252" s="71" t="s">
        <v>218</v>
      </c>
      <c r="C1252" s="40" t="s">
        <v>219</v>
      </c>
      <c r="D1252" s="40" t="s">
        <v>62</v>
      </c>
      <c r="E1252" s="41" t="s">
        <v>34</v>
      </c>
      <c r="F1252" s="222">
        <v>6</v>
      </c>
      <c r="G1252" s="324">
        <f>45.6+92</f>
        <v>137.6</v>
      </c>
      <c r="H1252" s="276" t="s">
        <v>63</v>
      </c>
      <c r="I1252" s="100"/>
      <c r="L1252" s="74"/>
    </row>
    <row r="1253" spans="1:12" ht="30" customHeight="1">
      <c r="A1253" s="37">
        <v>842</v>
      </c>
      <c r="B1253" s="38" t="s">
        <v>69</v>
      </c>
      <c r="C1253" s="40" t="s">
        <v>70</v>
      </c>
      <c r="D1253" s="40" t="s">
        <v>62</v>
      </c>
      <c r="E1253" s="41" t="s">
        <v>34</v>
      </c>
      <c r="F1253" s="222">
        <v>3</v>
      </c>
      <c r="G1253" s="324">
        <v>60</v>
      </c>
      <c r="H1253" s="276" t="s">
        <v>63</v>
      </c>
      <c r="I1253" s="100"/>
      <c r="L1253" s="74"/>
    </row>
    <row r="1254" spans="1:12" ht="30" customHeight="1">
      <c r="A1254" s="37">
        <v>843</v>
      </c>
      <c r="B1254" s="38" t="s">
        <v>71</v>
      </c>
      <c r="C1254" s="71" t="s">
        <v>72</v>
      </c>
      <c r="D1254" s="40" t="s">
        <v>62</v>
      </c>
      <c r="E1254" s="41" t="s">
        <v>34</v>
      </c>
      <c r="F1254" s="222">
        <v>26</v>
      </c>
      <c r="G1254" s="324">
        <f>170+244.8</f>
        <v>414.8</v>
      </c>
      <c r="H1254" s="276" t="s">
        <v>63</v>
      </c>
      <c r="I1254" s="100"/>
      <c r="L1254" s="74"/>
    </row>
    <row r="1255" spans="1:12" ht="45" customHeight="1">
      <c r="A1255" s="37">
        <v>844</v>
      </c>
      <c r="B1255" s="38" t="s">
        <v>73</v>
      </c>
      <c r="C1255" s="40" t="s">
        <v>74</v>
      </c>
      <c r="D1255" s="40" t="s">
        <v>62</v>
      </c>
      <c r="E1255" s="41" t="s">
        <v>34</v>
      </c>
      <c r="F1255" s="222">
        <v>16</v>
      </c>
      <c r="G1255" s="324">
        <f>122+253</f>
        <v>375</v>
      </c>
      <c r="H1255" s="276" t="s">
        <v>63</v>
      </c>
      <c r="I1255" s="100"/>
      <c r="L1255" s="74"/>
    </row>
    <row r="1256" spans="1:12" ht="30" customHeight="1">
      <c r="A1256" s="37">
        <v>845</v>
      </c>
      <c r="B1256" s="38" t="s">
        <v>75</v>
      </c>
      <c r="C1256" s="71" t="s">
        <v>76</v>
      </c>
      <c r="D1256" s="40" t="s">
        <v>62</v>
      </c>
      <c r="E1256" s="41" t="s">
        <v>77</v>
      </c>
      <c r="F1256" s="222">
        <v>35</v>
      </c>
      <c r="G1256" s="324">
        <f>727+1905</f>
        <v>2632</v>
      </c>
      <c r="H1256" s="276" t="s">
        <v>63</v>
      </c>
      <c r="I1256" s="100"/>
      <c r="L1256" s="74"/>
    </row>
    <row r="1257" spans="1:12" ht="30" customHeight="1">
      <c r="A1257" s="37">
        <v>846</v>
      </c>
      <c r="B1257" s="38" t="s">
        <v>78</v>
      </c>
      <c r="C1257" s="40" t="s">
        <v>79</v>
      </c>
      <c r="D1257" s="40" t="s">
        <v>62</v>
      </c>
      <c r="E1257" s="41" t="s">
        <v>34</v>
      </c>
      <c r="F1257" s="222">
        <v>17</v>
      </c>
      <c r="G1257" s="324">
        <f>1538+3694.8</f>
        <v>5232.8</v>
      </c>
      <c r="H1257" s="276" t="s">
        <v>63</v>
      </c>
      <c r="I1257" s="100"/>
      <c r="L1257" s="74"/>
    </row>
    <row r="1258" spans="1:12" ht="45" customHeight="1">
      <c r="A1258" s="37">
        <v>847</v>
      </c>
      <c r="B1258" s="38" t="s">
        <v>80</v>
      </c>
      <c r="C1258" s="40" t="s">
        <v>81</v>
      </c>
      <c r="D1258" s="40" t="s">
        <v>62</v>
      </c>
      <c r="E1258" s="41" t="s">
        <v>82</v>
      </c>
      <c r="F1258" s="222">
        <v>20</v>
      </c>
      <c r="G1258" s="324">
        <f>309.6+716.4</f>
        <v>1026</v>
      </c>
      <c r="H1258" s="276" t="s">
        <v>63</v>
      </c>
      <c r="I1258" s="100"/>
      <c r="L1258" s="74"/>
    </row>
    <row r="1259" spans="1:12" ht="30" customHeight="1">
      <c r="A1259" s="37">
        <v>848</v>
      </c>
      <c r="B1259" s="38" t="s">
        <v>83</v>
      </c>
      <c r="C1259" s="40" t="s">
        <v>72</v>
      </c>
      <c r="D1259" s="40" t="s">
        <v>62</v>
      </c>
      <c r="E1259" s="41" t="s">
        <v>34</v>
      </c>
      <c r="F1259" s="222">
        <v>25</v>
      </c>
      <c r="G1259" s="324">
        <f>325+340.5</f>
        <v>665.5</v>
      </c>
      <c r="H1259" s="276" t="s">
        <v>63</v>
      </c>
      <c r="I1259" s="100"/>
      <c r="L1259" s="74"/>
    </row>
    <row r="1260" spans="1:12" ht="30" customHeight="1">
      <c r="A1260" s="37">
        <v>849</v>
      </c>
      <c r="B1260" s="38" t="s">
        <v>220</v>
      </c>
      <c r="C1260" s="40" t="s">
        <v>221</v>
      </c>
      <c r="D1260" s="40" t="s">
        <v>62</v>
      </c>
      <c r="E1260" s="41" t="s">
        <v>34</v>
      </c>
      <c r="F1260" s="222">
        <v>20</v>
      </c>
      <c r="G1260" s="324">
        <f>268</f>
        <v>268</v>
      </c>
      <c r="H1260" s="276" t="s">
        <v>63</v>
      </c>
      <c r="I1260" s="100"/>
      <c r="L1260" s="74"/>
    </row>
    <row r="1261" spans="1:12" ht="45" customHeight="1">
      <c r="A1261" s="37">
        <v>850</v>
      </c>
      <c r="B1261" s="38" t="s">
        <v>84</v>
      </c>
      <c r="C1261" s="40" t="s">
        <v>85</v>
      </c>
      <c r="D1261" s="40" t="s">
        <v>62</v>
      </c>
      <c r="E1261" s="41" t="s">
        <v>34</v>
      </c>
      <c r="F1261" s="222">
        <v>20</v>
      </c>
      <c r="G1261" s="324">
        <f>1167+1182</f>
        <v>2349</v>
      </c>
      <c r="H1261" s="276" t="s">
        <v>63</v>
      </c>
      <c r="I1261" s="100"/>
      <c r="L1261" s="74"/>
    </row>
    <row r="1262" spans="1:12" ht="30" customHeight="1">
      <c r="A1262" s="37">
        <v>851</v>
      </c>
      <c r="B1262" s="38" t="s">
        <v>88</v>
      </c>
      <c r="C1262" s="40" t="s">
        <v>85</v>
      </c>
      <c r="D1262" s="40" t="s">
        <v>62</v>
      </c>
      <c r="E1262" s="41" t="s">
        <v>34</v>
      </c>
      <c r="F1262" s="222">
        <v>22</v>
      </c>
      <c r="G1262" s="324">
        <f>863.1+1869</f>
        <v>2732.1</v>
      </c>
      <c r="H1262" s="276" t="s">
        <v>63</v>
      </c>
      <c r="I1262" s="100"/>
      <c r="L1262" s="74"/>
    </row>
    <row r="1263" spans="1:12" ht="30" customHeight="1">
      <c r="A1263" s="37">
        <v>852</v>
      </c>
      <c r="B1263" s="38" t="s">
        <v>89</v>
      </c>
      <c r="C1263" s="40" t="s">
        <v>90</v>
      </c>
      <c r="D1263" s="40" t="s">
        <v>62</v>
      </c>
      <c r="E1263" s="41" t="s">
        <v>34</v>
      </c>
      <c r="F1263" s="222">
        <v>30</v>
      </c>
      <c r="G1263" s="324">
        <f>497+990</f>
        <v>1487</v>
      </c>
      <c r="H1263" s="276" t="s">
        <v>63</v>
      </c>
      <c r="I1263" s="100"/>
      <c r="L1263" s="74"/>
    </row>
    <row r="1264" spans="1:12" ht="30" customHeight="1">
      <c r="A1264" s="37">
        <v>853</v>
      </c>
      <c r="B1264" s="38" t="s">
        <v>91</v>
      </c>
      <c r="C1264" s="40" t="s">
        <v>92</v>
      </c>
      <c r="D1264" s="40" t="s">
        <v>62</v>
      </c>
      <c r="E1264" s="41" t="s">
        <v>34</v>
      </c>
      <c r="F1264" s="222">
        <v>55</v>
      </c>
      <c r="G1264" s="324">
        <f>2506.5+6688</f>
        <v>9194.5</v>
      </c>
      <c r="H1264" s="276" t="s">
        <v>63</v>
      </c>
      <c r="I1264" s="100"/>
      <c r="L1264" s="74"/>
    </row>
    <row r="1265" spans="1:12" ht="30" customHeight="1">
      <c r="A1265" s="37">
        <v>854</v>
      </c>
      <c r="B1265" s="38" t="s">
        <v>222</v>
      </c>
      <c r="C1265" s="40" t="s">
        <v>223</v>
      </c>
      <c r="D1265" s="40" t="s">
        <v>62</v>
      </c>
      <c r="E1265" s="41" t="s">
        <v>34</v>
      </c>
      <c r="F1265" s="222">
        <v>20</v>
      </c>
      <c r="G1265" s="324">
        <f>140+249.6</f>
        <v>389.6</v>
      </c>
      <c r="H1265" s="276" t="s">
        <v>63</v>
      </c>
      <c r="I1265" s="100"/>
      <c r="L1265" s="74"/>
    </row>
    <row r="1266" spans="1:12" ht="30" customHeight="1">
      <c r="A1266" s="37">
        <v>855</v>
      </c>
      <c r="B1266" s="38" t="s">
        <v>93</v>
      </c>
      <c r="C1266" s="40" t="s">
        <v>94</v>
      </c>
      <c r="D1266" s="40" t="s">
        <v>62</v>
      </c>
      <c r="E1266" s="41" t="s">
        <v>34</v>
      </c>
      <c r="F1266" s="222">
        <v>5</v>
      </c>
      <c r="G1266" s="324">
        <v>636.77</v>
      </c>
      <c r="H1266" s="276" t="s">
        <v>63</v>
      </c>
      <c r="I1266" s="100"/>
      <c r="L1266" s="74"/>
    </row>
    <row r="1267" spans="1:12" ht="30" customHeight="1">
      <c r="A1267" s="37">
        <v>856</v>
      </c>
      <c r="B1267" s="38" t="s">
        <v>224</v>
      </c>
      <c r="C1267" s="40" t="s">
        <v>225</v>
      </c>
      <c r="D1267" s="40" t="s">
        <v>62</v>
      </c>
      <c r="E1267" s="41" t="s">
        <v>34</v>
      </c>
      <c r="F1267" s="222">
        <v>10</v>
      </c>
      <c r="G1267" s="324">
        <v>124</v>
      </c>
      <c r="H1267" s="276" t="s">
        <v>63</v>
      </c>
      <c r="I1267" s="100"/>
      <c r="L1267" s="74"/>
    </row>
    <row r="1268" spans="1:12" ht="30" customHeight="1">
      <c r="A1268" s="37">
        <v>857</v>
      </c>
      <c r="B1268" s="40" t="s">
        <v>226</v>
      </c>
      <c r="C1268" s="40" t="s">
        <v>227</v>
      </c>
      <c r="D1268" s="40" t="s">
        <v>62</v>
      </c>
      <c r="E1268" s="41" t="s">
        <v>34</v>
      </c>
      <c r="F1268" s="222">
        <v>42</v>
      </c>
      <c r="G1268" s="324">
        <v>5825.4</v>
      </c>
      <c r="H1268" s="276" t="s">
        <v>63</v>
      </c>
      <c r="I1268" s="100"/>
      <c r="L1268" s="74"/>
    </row>
    <row r="1269" spans="1:12" ht="30" customHeight="1">
      <c r="A1269" s="37">
        <v>858</v>
      </c>
      <c r="B1269" s="40" t="s">
        <v>95</v>
      </c>
      <c r="C1269" s="40" t="s">
        <v>96</v>
      </c>
      <c r="D1269" s="40" t="s">
        <v>62</v>
      </c>
      <c r="E1269" s="41" t="s">
        <v>34</v>
      </c>
      <c r="F1269" s="222">
        <v>67</v>
      </c>
      <c r="G1269" s="324">
        <v>13965.6</v>
      </c>
      <c r="H1269" s="276" t="s">
        <v>63</v>
      </c>
      <c r="I1269" s="100"/>
      <c r="L1269" s="74"/>
    </row>
    <row r="1270" spans="1:12" ht="30" customHeight="1">
      <c r="A1270" s="37">
        <v>859</v>
      </c>
      <c r="B1270" s="40" t="s">
        <v>667</v>
      </c>
      <c r="C1270" s="40" t="s">
        <v>668</v>
      </c>
      <c r="D1270" s="40" t="s">
        <v>62</v>
      </c>
      <c r="E1270" s="41" t="s">
        <v>34</v>
      </c>
      <c r="F1270" s="222">
        <v>80</v>
      </c>
      <c r="G1270" s="324">
        <v>18400</v>
      </c>
      <c r="H1270" s="276" t="s">
        <v>63</v>
      </c>
      <c r="I1270" s="100"/>
      <c r="L1270" s="74"/>
    </row>
    <row r="1271" spans="1:12" ht="45" customHeight="1">
      <c r="A1271" s="37">
        <v>860</v>
      </c>
      <c r="B1271" s="54" t="s">
        <v>98</v>
      </c>
      <c r="C1271" s="40" t="s">
        <v>61</v>
      </c>
      <c r="D1271" s="40" t="s">
        <v>62</v>
      </c>
      <c r="E1271" s="41" t="s">
        <v>25</v>
      </c>
      <c r="F1271" s="222">
        <v>255</v>
      </c>
      <c r="G1271" s="324">
        <f>3225.75+1.22+135.4-1.65</f>
        <v>3360.72</v>
      </c>
      <c r="H1271" s="276" t="s">
        <v>63</v>
      </c>
      <c r="I1271" s="100"/>
      <c r="L1271" s="74"/>
    </row>
    <row r="1272" spans="1:12" ht="30" customHeight="1">
      <c r="A1272" s="37">
        <v>861</v>
      </c>
      <c r="B1272" s="40" t="s">
        <v>99</v>
      </c>
      <c r="C1272" s="40" t="s">
        <v>100</v>
      </c>
      <c r="D1272" s="40" t="s">
        <v>62</v>
      </c>
      <c r="E1272" s="41" t="s">
        <v>34</v>
      </c>
      <c r="F1272" s="222">
        <v>25</v>
      </c>
      <c r="G1272" s="324">
        <f>2962.08+4593</f>
        <v>7555.08</v>
      </c>
      <c r="H1272" s="276" t="s">
        <v>63</v>
      </c>
      <c r="I1272" s="100"/>
      <c r="L1272" s="74"/>
    </row>
    <row r="1273" spans="1:12" ht="30" customHeight="1">
      <c r="A1273" s="37">
        <v>862</v>
      </c>
      <c r="B1273" s="40" t="s">
        <v>101</v>
      </c>
      <c r="C1273" s="40" t="s">
        <v>102</v>
      </c>
      <c r="D1273" s="40" t="s">
        <v>62</v>
      </c>
      <c r="E1273" s="41" t="s">
        <v>34</v>
      </c>
      <c r="F1273" s="222">
        <v>3.8</v>
      </c>
      <c r="G1273" s="324">
        <v>2261</v>
      </c>
      <c r="H1273" s="276" t="s">
        <v>63</v>
      </c>
      <c r="I1273" s="100"/>
      <c r="L1273" s="74"/>
    </row>
    <row r="1274" spans="1:12" ht="30" customHeight="1">
      <c r="A1274" s="37">
        <v>863</v>
      </c>
      <c r="B1274" s="40" t="s">
        <v>228</v>
      </c>
      <c r="C1274" s="40" t="s">
        <v>229</v>
      </c>
      <c r="D1274" s="40" t="s">
        <v>62</v>
      </c>
      <c r="E1274" s="41" t="s">
        <v>34</v>
      </c>
      <c r="F1274" s="222">
        <v>70</v>
      </c>
      <c r="G1274" s="324">
        <f>495+2454</f>
        <v>2949</v>
      </c>
      <c r="H1274" s="276" t="s">
        <v>63</v>
      </c>
      <c r="I1274" s="100"/>
      <c r="L1274" s="74"/>
    </row>
    <row r="1275" spans="1:12" ht="30" customHeight="1">
      <c r="A1275" s="37">
        <v>864</v>
      </c>
      <c r="B1275" s="40" t="s">
        <v>103</v>
      </c>
      <c r="C1275" s="40" t="s">
        <v>104</v>
      </c>
      <c r="D1275" s="40" t="s">
        <v>62</v>
      </c>
      <c r="E1275" s="41" t="s">
        <v>25</v>
      </c>
      <c r="F1275" s="222">
        <v>750</v>
      </c>
      <c r="G1275" s="324">
        <v>3480</v>
      </c>
      <c r="H1275" s="276" t="s">
        <v>63</v>
      </c>
      <c r="I1275" s="100"/>
      <c r="L1275" s="74"/>
    </row>
    <row r="1276" spans="1:12" ht="30" customHeight="1">
      <c r="A1276" s="37">
        <v>865</v>
      </c>
      <c r="B1276" s="40" t="s">
        <v>230</v>
      </c>
      <c r="C1276" s="40" t="s">
        <v>231</v>
      </c>
      <c r="D1276" s="40" t="s">
        <v>62</v>
      </c>
      <c r="E1276" s="41" t="s">
        <v>77</v>
      </c>
      <c r="F1276" s="222">
        <v>20</v>
      </c>
      <c r="G1276" s="324">
        <f>1172</f>
        <v>1172</v>
      </c>
      <c r="H1276" s="276" t="s">
        <v>63</v>
      </c>
      <c r="I1276" s="100"/>
      <c r="L1276" s="74"/>
    </row>
    <row r="1277" spans="1:12" ht="30" customHeight="1">
      <c r="A1277" s="37">
        <v>866</v>
      </c>
      <c r="B1277" s="38" t="s">
        <v>232</v>
      </c>
      <c r="C1277" s="40" t="s">
        <v>85</v>
      </c>
      <c r="D1277" s="40" t="s">
        <v>62</v>
      </c>
      <c r="E1277" s="41" t="s">
        <v>34</v>
      </c>
      <c r="F1277" s="222">
        <v>20</v>
      </c>
      <c r="G1277" s="324">
        <f>1137.83+1182</f>
        <v>2319.83</v>
      </c>
      <c r="H1277" s="276" t="s">
        <v>63</v>
      </c>
      <c r="I1277" s="100"/>
      <c r="L1277" s="74"/>
    </row>
    <row r="1278" spans="1:12" ht="30" customHeight="1">
      <c r="A1278" s="37">
        <v>867</v>
      </c>
      <c r="B1278" s="38" t="s">
        <v>105</v>
      </c>
      <c r="C1278" s="40" t="s">
        <v>70</v>
      </c>
      <c r="D1278" s="40" t="s">
        <v>62</v>
      </c>
      <c r="E1278" s="41" t="s">
        <v>34</v>
      </c>
      <c r="F1278" s="222">
        <v>23</v>
      </c>
      <c r="G1278" s="324">
        <f>339+427.7</f>
        <v>766.7</v>
      </c>
      <c r="H1278" s="276" t="s">
        <v>63</v>
      </c>
      <c r="I1278" s="100"/>
      <c r="L1278" s="74"/>
    </row>
    <row r="1279" spans="1:12" s="10" customFormat="1" ht="30" customHeight="1">
      <c r="A1279" s="296"/>
      <c r="B1279" s="260" t="s">
        <v>106</v>
      </c>
      <c r="C1279" s="261"/>
      <c r="D1279" s="262"/>
      <c r="E1279" s="263"/>
      <c r="F1279" s="263"/>
      <c r="G1279" s="337">
        <f>SUM(G1250:G1278)</f>
        <v>95120</v>
      </c>
      <c r="H1279" s="265"/>
      <c r="I1279" s="100"/>
      <c r="L1279" s="267"/>
    </row>
    <row r="1280" spans="1:12" ht="30" customHeight="1">
      <c r="A1280" s="269">
        <v>868</v>
      </c>
      <c r="B1280" s="270" t="s">
        <v>233</v>
      </c>
      <c r="C1280" s="137" t="s">
        <v>234</v>
      </c>
      <c r="D1280" s="137" t="s">
        <v>109</v>
      </c>
      <c r="E1280" s="138" t="s">
        <v>113</v>
      </c>
      <c r="F1280" s="138">
        <v>3</v>
      </c>
      <c r="G1280" s="272">
        <v>3780</v>
      </c>
      <c r="H1280" s="276" t="s">
        <v>63</v>
      </c>
      <c r="I1280" s="100"/>
      <c r="K1280" s="12">
        <f>1260</f>
        <v>1260</v>
      </c>
      <c r="L1280" s="74">
        <f aca="true" t="shared" si="15" ref="L1280:L1289">G1280-K1280</f>
        <v>2520</v>
      </c>
    </row>
    <row r="1281" spans="1:12" ht="30" customHeight="1">
      <c r="A1281" s="269">
        <v>869</v>
      </c>
      <c r="B1281" s="270" t="s">
        <v>235</v>
      </c>
      <c r="C1281" s="137" t="s">
        <v>116</v>
      </c>
      <c r="D1281" s="137" t="s">
        <v>109</v>
      </c>
      <c r="E1281" s="138" t="s">
        <v>113</v>
      </c>
      <c r="F1281" s="271" t="s">
        <v>117</v>
      </c>
      <c r="G1281" s="272">
        <v>462</v>
      </c>
      <c r="H1281" s="276" t="s">
        <v>63</v>
      </c>
      <c r="I1281" s="100"/>
      <c r="K1281" s="12">
        <f>154</f>
        <v>154</v>
      </c>
      <c r="L1281" s="74">
        <f t="shared" si="15"/>
        <v>308</v>
      </c>
    </row>
    <row r="1282" spans="1:12" ht="45" customHeight="1">
      <c r="A1282" s="269">
        <v>870</v>
      </c>
      <c r="B1282" s="270" t="s">
        <v>236</v>
      </c>
      <c r="C1282" s="137" t="s">
        <v>119</v>
      </c>
      <c r="D1282" s="137" t="s">
        <v>109</v>
      </c>
      <c r="E1282" s="41" t="s">
        <v>120</v>
      </c>
      <c r="F1282" s="41" t="s">
        <v>121</v>
      </c>
      <c r="G1282" s="272">
        <v>3822.77</v>
      </c>
      <c r="H1282" s="276" t="s">
        <v>63</v>
      </c>
      <c r="I1282" s="100"/>
      <c r="K1282" s="12">
        <f>1177.07</f>
        <v>1177.07</v>
      </c>
      <c r="L1282" s="74">
        <f t="shared" si="15"/>
        <v>2645.7</v>
      </c>
    </row>
    <row r="1283" spans="1:13" ht="30" customHeight="1">
      <c r="A1283" s="269">
        <v>871</v>
      </c>
      <c r="B1283" s="270" t="s">
        <v>237</v>
      </c>
      <c r="C1283" s="137" t="s">
        <v>123</v>
      </c>
      <c r="D1283" s="137" t="s">
        <v>109</v>
      </c>
      <c r="E1283" s="138" t="s">
        <v>113</v>
      </c>
      <c r="F1283" s="138" t="s">
        <v>117</v>
      </c>
      <c r="G1283" s="272">
        <v>1413</v>
      </c>
      <c r="H1283" s="276" t="s">
        <v>63</v>
      </c>
      <c r="I1283" s="100"/>
      <c r="K1283" s="12">
        <v>470.96</v>
      </c>
      <c r="L1283" s="74">
        <f t="shared" si="15"/>
        <v>942.04</v>
      </c>
      <c r="M1283" s="12">
        <v>1412.88</v>
      </c>
    </row>
    <row r="1284" spans="1:12" ht="30" customHeight="1">
      <c r="A1284" s="269">
        <v>872</v>
      </c>
      <c r="B1284" s="270" t="s">
        <v>238</v>
      </c>
      <c r="C1284" s="137" t="s">
        <v>239</v>
      </c>
      <c r="D1284" s="137" t="s">
        <v>109</v>
      </c>
      <c r="E1284" s="138" t="s">
        <v>184</v>
      </c>
      <c r="F1284" s="138">
        <v>154</v>
      </c>
      <c r="G1284" s="272">
        <v>455.84</v>
      </c>
      <c r="H1284" s="276" t="s">
        <v>19</v>
      </c>
      <c r="I1284" s="100"/>
      <c r="L1284" s="74"/>
    </row>
    <row r="1285" spans="1:12" ht="30" customHeight="1">
      <c r="A1285" s="269">
        <v>873</v>
      </c>
      <c r="B1285" s="270" t="s">
        <v>240</v>
      </c>
      <c r="C1285" s="137" t="s">
        <v>239</v>
      </c>
      <c r="D1285" s="137" t="s">
        <v>109</v>
      </c>
      <c r="E1285" s="138" t="s">
        <v>184</v>
      </c>
      <c r="F1285" s="138">
        <v>784.3</v>
      </c>
      <c r="G1285" s="272">
        <v>2023.49</v>
      </c>
      <c r="H1285" s="276" t="s">
        <v>19</v>
      </c>
      <c r="I1285" s="100"/>
      <c r="L1285" s="74"/>
    </row>
    <row r="1286" spans="1:12" ht="45" customHeight="1">
      <c r="A1286" s="269">
        <v>874</v>
      </c>
      <c r="B1286" s="270" t="s">
        <v>241</v>
      </c>
      <c r="C1286" s="137" t="s">
        <v>242</v>
      </c>
      <c r="D1286" s="137" t="s">
        <v>109</v>
      </c>
      <c r="E1286" s="138" t="s">
        <v>25</v>
      </c>
      <c r="F1286" s="138">
        <v>2</v>
      </c>
      <c r="G1286" s="272">
        <v>366.9</v>
      </c>
      <c r="H1286" s="276" t="s">
        <v>63</v>
      </c>
      <c r="I1286" s="100"/>
      <c r="L1286" s="74"/>
    </row>
    <row r="1287" spans="1:12" ht="45" customHeight="1">
      <c r="A1287" s="269">
        <v>875</v>
      </c>
      <c r="B1287" s="38" t="s">
        <v>128</v>
      </c>
      <c r="C1287" s="88" t="s">
        <v>129</v>
      </c>
      <c r="D1287" s="40" t="s">
        <v>109</v>
      </c>
      <c r="E1287" s="41" t="s">
        <v>25</v>
      </c>
      <c r="F1287" s="41">
        <v>2</v>
      </c>
      <c r="G1287" s="311">
        <v>57205</v>
      </c>
      <c r="H1287" s="155" t="s">
        <v>63</v>
      </c>
      <c r="I1287" s="100"/>
      <c r="L1287" s="74"/>
    </row>
    <row r="1288" spans="1:12" ht="30" customHeight="1">
      <c r="A1288" s="269">
        <v>876</v>
      </c>
      <c r="B1288" s="270" t="s">
        <v>130</v>
      </c>
      <c r="C1288" s="137" t="s">
        <v>131</v>
      </c>
      <c r="D1288" s="137" t="s">
        <v>109</v>
      </c>
      <c r="E1288" s="138" t="s">
        <v>25</v>
      </c>
      <c r="F1288" s="138">
        <v>5</v>
      </c>
      <c r="G1288" s="272">
        <v>1400</v>
      </c>
      <c r="H1288" s="276" t="s">
        <v>19</v>
      </c>
      <c r="I1288" s="100"/>
      <c r="K1288" s="12">
        <v>1064</v>
      </c>
      <c r="L1288" s="74">
        <f>G1288-K1288</f>
        <v>336</v>
      </c>
    </row>
    <row r="1289" spans="1:12" ht="30" customHeight="1">
      <c r="A1289" s="269">
        <v>877</v>
      </c>
      <c r="B1289" s="270" t="s">
        <v>130</v>
      </c>
      <c r="C1289" s="137" t="s">
        <v>131</v>
      </c>
      <c r="D1289" s="137" t="s">
        <v>109</v>
      </c>
      <c r="E1289" s="138" t="s">
        <v>25</v>
      </c>
      <c r="F1289" s="138">
        <v>10</v>
      </c>
      <c r="G1289" s="272">
        <v>2800</v>
      </c>
      <c r="H1289" s="276" t="s">
        <v>132</v>
      </c>
      <c r="I1289" s="100"/>
      <c r="K1289" s="12">
        <v>1064</v>
      </c>
      <c r="L1289" s="74">
        <f t="shared" si="15"/>
        <v>1736</v>
      </c>
    </row>
    <row r="1290" spans="1:12" s="10" customFormat="1" ht="30" customHeight="1">
      <c r="A1290" s="334"/>
      <c r="B1290" s="335" t="s">
        <v>136</v>
      </c>
      <c r="C1290" s="336"/>
      <c r="D1290" s="262"/>
      <c r="E1290" s="263"/>
      <c r="F1290" s="263"/>
      <c r="G1290" s="337">
        <f>SUM(G1280:G1289)</f>
        <v>73729</v>
      </c>
      <c r="H1290" s="265"/>
      <c r="I1290" s="100"/>
      <c r="K1290" s="267">
        <f>SUM(K1280:K1289)</f>
        <v>5190.03</v>
      </c>
      <c r="L1290" s="267">
        <f>SUM(L1280:L1289)</f>
        <v>8487.74</v>
      </c>
    </row>
    <row r="1291" spans="1:11" ht="30" customHeight="1">
      <c r="A1291" s="269">
        <v>878</v>
      </c>
      <c r="B1291" s="38" t="s">
        <v>243</v>
      </c>
      <c r="C1291" s="52" t="s">
        <v>138</v>
      </c>
      <c r="D1291" s="40" t="s">
        <v>139</v>
      </c>
      <c r="E1291" s="41" t="s">
        <v>140</v>
      </c>
      <c r="F1291" s="53">
        <f>G1291/2878.55</f>
        <v>102.23897448368102</v>
      </c>
      <c r="G1291" s="295">
        <v>294300</v>
      </c>
      <c r="H1291" s="137" t="s">
        <v>63</v>
      </c>
      <c r="I1291" s="100"/>
      <c r="K1291" s="12">
        <f>89955</f>
        <v>89955</v>
      </c>
    </row>
    <row r="1292" spans="1:9" s="10" customFormat="1" ht="30" customHeight="1">
      <c r="A1292" s="334"/>
      <c r="B1292" s="260" t="s">
        <v>141</v>
      </c>
      <c r="C1292" s="261"/>
      <c r="D1292" s="262"/>
      <c r="E1292" s="263"/>
      <c r="F1292" s="263"/>
      <c r="G1292" s="297">
        <f>SUM(G1291:G1291)</f>
        <v>294300</v>
      </c>
      <c r="H1292" s="265"/>
      <c r="I1292" s="100"/>
    </row>
    <row r="1293" spans="1:11" ht="30" customHeight="1">
      <c r="A1293" s="269">
        <v>879</v>
      </c>
      <c r="B1293" s="38" t="s">
        <v>244</v>
      </c>
      <c r="C1293" s="54" t="s">
        <v>245</v>
      </c>
      <c r="D1293" s="40" t="s">
        <v>246</v>
      </c>
      <c r="E1293" s="41" t="s">
        <v>110</v>
      </c>
      <c r="F1293" s="56">
        <f>G1293/12.72</f>
        <v>47.09119496855346</v>
      </c>
      <c r="G1293" s="295">
        <v>599</v>
      </c>
      <c r="H1293" s="137" t="s">
        <v>63</v>
      </c>
      <c r="I1293" s="100"/>
      <c r="K1293" s="74"/>
    </row>
    <row r="1294" spans="1:9" s="10" customFormat="1" ht="30" customHeight="1">
      <c r="A1294" s="334"/>
      <c r="B1294" s="260" t="s">
        <v>247</v>
      </c>
      <c r="C1294" s="261"/>
      <c r="D1294" s="262"/>
      <c r="E1294" s="263"/>
      <c r="F1294" s="263"/>
      <c r="G1294" s="297">
        <f>G1293</f>
        <v>599</v>
      </c>
      <c r="H1294" s="265"/>
      <c r="I1294" s="100"/>
    </row>
    <row r="1295" spans="1:13" ht="30" customHeight="1">
      <c r="A1295" s="37">
        <v>880</v>
      </c>
      <c r="B1295" s="38" t="s">
        <v>142</v>
      </c>
      <c r="C1295" s="54" t="s">
        <v>143</v>
      </c>
      <c r="D1295" s="40" t="s">
        <v>144</v>
      </c>
      <c r="E1295" s="41" t="s">
        <v>145</v>
      </c>
      <c r="F1295" s="56">
        <f>G1295/4.143</f>
        <v>5252.715423606082</v>
      </c>
      <c r="G1295" s="295">
        <v>21762</v>
      </c>
      <c r="H1295" s="137" t="s">
        <v>63</v>
      </c>
      <c r="I1295" s="100"/>
      <c r="K1295" s="12">
        <f>6715.8+2039.89</f>
        <v>8755.69</v>
      </c>
      <c r="L1295" s="240">
        <f>F1295-J1295</f>
        <v>5252.715423606082</v>
      </c>
      <c r="M1295" s="74">
        <f>G1295-K1295</f>
        <v>13006.31</v>
      </c>
    </row>
    <row r="1296" spans="1:9" s="10" customFormat="1" ht="30" customHeight="1">
      <c r="A1296" s="296"/>
      <c r="B1296" s="260" t="s">
        <v>146</v>
      </c>
      <c r="C1296" s="261"/>
      <c r="D1296" s="262"/>
      <c r="E1296" s="263"/>
      <c r="F1296" s="263"/>
      <c r="G1296" s="297">
        <f>G1295</f>
        <v>21762</v>
      </c>
      <c r="H1296" s="265"/>
      <c r="I1296" s="101"/>
    </row>
    <row r="1297" spans="1:9" ht="22.5" customHeight="1">
      <c r="A1297" s="19"/>
      <c r="B1297" s="208" t="s">
        <v>151</v>
      </c>
      <c r="C1297" s="167"/>
      <c r="D1297" s="168"/>
      <c r="E1297" s="207"/>
      <c r="F1297" s="170"/>
      <c r="G1297" s="304"/>
      <c r="H1297" s="171"/>
      <c r="I1297" s="223"/>
    </row>
    <row r="1298" spans="1:9" ht="22.5" customHeight="1">
      <c r="A1298" s="19"/>
      <c r="B1298" s="106" t="s">
        <v>152</v>
      </c>
      <c r="C1298" s="107"/>
      <c r="D1298" s="108" t="s">
        <v>153</v>
      </c>
      <c r="E1298" s="109"/>
      <c r="F1298" s="109"/>
      <c r="G1298" s="304"/>
      <c r="H1298" s="171"/>
      <c r="I1298" s="223"/>
    </row>
    <row r="1299" spans="1:9" s="8" customFormat="1" ht="22.5" customHeight="1">
      <c r="A1299" s="19"/>
      <c r="B1299" s="111"/>
      <c r="C1299" s="9"/>
      <c r="D1299" s="112" t="s">
        <v>154</v>
      </c>
      <c r="E1299" s="113" t="s">
        <v>155</v>
      </c>
      <c r="F1299" s="114"/>
      <c r="G1299" s="304"/>
      <c r="H1299" s="171"/>
      <c r="I1299" s="223"/>
    </row>
    <row r="1300" spans="1:9" s="8" customFormat="1" ht="22.5" customHeight="1">
      <c r="A1300" s="19"/>
      <c r="B1300" s="115" t="s">
        <v>156</v>
      </c>
      <c r="C1300" s="116"/>
      <c r="D1300" s="108" t="s">
        <v>157</v>
      </c>
      <c r="E1300" s="109"/>
      <c r="F1300" s="109"/>
      <c r="G1300" s="304"/>
      <c r="H1300" s="171"/>
      <c r="I1300" s="223"/>
    </row>
    <row r="1301" spans="1:9" ht="22.5" customHeight="1">
      <c r="A1301" s="19"/>
      <c r="B1301" s="111"/>
      <c r="C1301" s="9"/>
      <c r="D1301" s="112" t="s">
        <v>154</v>
      </c>
      <c r="E1301" s="113"/>
      <c r="F1301" s="114"/>
      <c r="G1301" s="304"/>
      <c r="H1301" s="8"/>
      <c r="I1301" s="141"/>
    </row>
    <row r="1302" spans="1:9" s="8" customFormat="1" ht="22.5" customHeight="1">
      <c r="A1302" s="19"/>
      <c r="B1302" s="115" t="s">
        <v>158</v>
      </c>
      <c r="C1302" s="9"/>
      <c r="D1302" s="9"/>
      <c r="E1302" s="9"/>
      <c r="F1302" s="9"/>
      <c r="G1302" s="304"/>
      <c r="H1302" s="171"/>
      <c r="I1302" s="223"/>
    </row>
    <row r="1303" spans="1:9" s="2" customFormat="1" ht="30" customHeight="1">
      <c r="A1303" s="169"/>
      <c r="B1303" s="229" t="s">
        <v>159</v>
      </c>
      <c r="C1303" s="167"/>
      <c r="D1303" s="291" t="s">
        <v>160</v>
      </c>
      <c r="E1303" s="229"/>
      <c r="F1303" s="170"/>
      <c r="G1303" s="307"/>
      <c r="H1303" s="171"/>
      <c r="I1303" s="326"/>
    </row>
    <row r="1304" spans="1:9" ht="22.5" customHeight="1">
      <c r="A1304" s="19"/>
      <c r="B1304" s="230" t="s">
        <v>161</v>
      </c>
      <c r="C1304" s="167"/>
      <c r="D1304" s="168"/>
      <c r="E1304" s="207"/>
      <c r="F1304" s="170"/>
      <c r="G1304" s="304"/>
      <c r="H1304" s="171"/>
      <c r="I1304" s="223"/>
    </row>
    <row r="1305" spans="1:9" ht="67.5" customHeight="1">
      <c r="A1305" s="19"/>
      <c r="B1305" s="8" t="s">
        <v>0</v>
      </c>
      <c r="C1305" s="20"/>
      <c r="D1305" s="21"/>
      <c r="E1305" s="22"/>
      <c r="F1305" s="23" t="s">
        <v>1</v>
      </c>
      <c r="G1305" s="23"/>
      <c r="H1305" s="21"/>
      <c r="I1305" s="70"/>
    </row>
    <row r="1306" spans="1:9" ht="45" customHeight="1">
      <c r="A1306" s="317" t="s">
        <v>2</v>
      </c>
      <c r="B1306" s="317"/>
      <c r="C1306" s="317"/>
      <c r="D1306" s="317"/>
      <c r="E1306" s="317"/>
      <c r="F1306" s="317"/>
      <c r="G1306" s="317"/>
      <c r="H1306" s="317"/>
      <c r="I1306" s="317"/>
    </row>
    <row r="1307" spans="1:9" s="7" customFormat="1" ht="29.25" customHeight="1" hidden="1">
      <c r="A1307" s="35" t="s">
        <v>3</v>
      </c>
      <c r="B1307" s="173"/>
      <c r="C1307" s="173"/>
      <c r="D1307" s="173"/>
      <c r="E1307" s="173"/>
      <c r="F1307" s="173"/>
      <c r="G1307" s="173"/>
      <c r="H1307" s="173"/>
      <c r="I1307" s="173"/>
    </row>
    <row r="1308" spans="3:9" ht="15" customHeight="1">
      <c r="C1308" s="145"/>
      <c r="D1308" s="60" t="s">
        <v>4</v>
      </c>
      <c r="E1308" s="145"/>
      <c r="F1308" s="145"/>
      <c r="G1308" s="309"/>
      <c r="H1308" s="61"/>
      <c r="I1308" s="61"/>
    </row>
    <row r="1309" ht="15" customHeight="1"/>
    <row r="1310" spans="1:11" ht="15.75" customHeight="1">
      <c r="A1310" s="83" t="s">
        <v>5</v>
      </c>
      <c r="B1310" s="27" t="s">
        <v>6</v>
      </c>
      <c r="C1310" s="28" t="s">
        <v>7</v>
      </c>
      <c r="D1310" s="63" t="s">
        <v>8</v>
      </c>
      <c r="E1310" s="28" t="s">
        <v>9</v>
      </c>
      <c r="F1310" s="28" t="s">
        <v>10</v>
      </c>
      <c r="G1310" s="63" t="s">
        <v>11</v>
      </c>
      <c r="H1310" s="63" t="s">
        <v>12</v>
      </c>
      <c r="I1310" s="63" t="s">
        <v>13</v>
      </c>
      <c r="J1310" s="71"/>
      <c r="K1310" s="71"/>
    </row>
    <row r="1311" spans="1:9" ht="31.5" customHeight="1">
      <c r="A1311" s="84"/>
      <c r="B1311" s="30"/>
      <c r="C1311" s="31"/>
      <c r="D1311" s="65"/>
      <c r="E1311" s="31"/>
      <c r="F1311" s="31"/>
      <c r="G1311" s="65"/>
      <c r="H1311" s="65"/>
      <c r="I1311" s="65"/>
    </row>
    <row r="1312" spans="1:9" ht="37.5" customHeight="1">
      <c r="A1312" s="85"/>
      <c r="B1312" s="33"/>
      <c r="C1312" s="34"/>
      <c r="D1312" s="67"/>
      <c r="E1312" s="34"/>
      <c r="F1312" s="34"/>
      <c r="G1312" s="67"/>
      <c r="H1312" s="67"/>
      <c r="I1312" s="67"/>
    </row>
    <row r="1313" spans="1:14" ht="20.25" customHeight="1">
      <c r="A1313" s="32">
        <v>1</v>
      </c>
      <c r="B1313" s="33">
        <v>2</v>
      </c>
      <c r="C1313" s="34">
        <v>3</v>
      </c>
      <c r="D1313" s="67">
        <v>4</v>
      </c>
      <c r="E1313" s="34">
        <v>5</v>
      </c>
      <c r="F1313" s="34">
        <v>6</v>
      </c>
      <c r="G1313" s="67">
        <v>7</v>
      </c>
      <c r="H1313" s="67">
        <v>8</v>
      </c>
      <c r="I1313" s="65">
        <v>9</v>
      </c>
      <c r="N1313" s="12" t="s">
        <v>14</v>
      </c>
    </row>
    <row r="1314" spans="1:15" ht="29.25" customHeight="1">
      <c r="A1314" s="37">
        <v>881</v>
      </c>
      <c r="B1314" s="38" t="s">
        <v>15</v>
      </c>
      <c r="C1314" s="39" t="s">
        <v>16</v>
      </c>
      <c r="D1314" s="40" t="s">
        <v>17</v>
      </c>
      <c r="E1314" s="41" t="s">
        <v>18</v>
      </c>
      <c r="F1314" s="41">
        <v>5</v>
      </c>
      <c r="G1314" s="295">
        <v>1050</v>
      </c>
      <c r="H1314" s="155" t="s">
        <v>19</v>
      </c>
      <c r="I1314" s="224" t="s">
        <v>253</v>
      </c>
      <c r="L1314" s="74">
        <f>G1314-K1314</f>
        <v>1050</v>
      </c>
      <c r="N1314" s="12">
        <v>3</v>
      </c>
      <c r="O1314" s="12">
        <v>780</v>
      </c>
    </row>
    <row r="1315" spans="1:12" ht="60" customHeight="1">
      <c r="A1315" s="37">
        <v>882</v>
      </c>
      <c r="B1315" s="38" t="s">
        <v>20</v>
      </c>
      <c r="C1315" s="43" t="s">
        <v>21</v>
      </c>
      <c r="D1315" s="40" t="s">
        <v>17</v>
      </c>
      <c r="E1315" s="41" t="s">
        <v>22</v>
      </c>
      <c r="F1315" s="41">
        <v>3</v>
      </c>
      <c r="G1315" s="295">
        <v>1111.32</v>
      </c>
      <c r="H1315" s="155" t="s">
        <v>19</v>
      </c>
      <c r="I1315" s="224"/>
      <c r="L1315" s="74"/>
    </row>
    <row r="1316" spans="1:12" ht="30" customHeight="1">
      <c r="A1316" s="37">
        <v>883</v>
      </c>
      <c r="B1316" s="38" t="s">
        <v>23</v>
      </c>
      <c r="C1316" s="43" t="s">
        <v>24</v>
      </c>
      <c r="D1316" s="40" t="s">
        <v>17</v>
      </c>
      <c r="E1316" s="41" t="s">
        <v>25</v>
      </c>
      <c r="F1316" s="41">
        <v>1</v>
      </c>
      <c r="G1316" s="295">
        <v>174.11</v>
      </c>
      <c r="H1316" s="155" t="s">
        <v>19</v>
      </c>
      <c r="I1316" s="224"/>
      <c r="L1316" s="74"/>
    </row>
    <row r="1317" spans="1:12" ht="29.25" customHeight="1">
      <c r="A1317" s="37">
        <v>884</v>
      </c>
      <c r="B1317" s="38" t="s">
        <v>26</v>
      </c>
      <c r="C1317" s="43" t="s">
        <v>27</v>
      </c>
      <c r="D1317" s="40" t="s">
        <v>17</v>
      </c>
      <c r="E1317" s="41" t="s">
        <v>25</v>
      </c>
      <c r="F1317" s="41">
        <v>12</v>
      </c>
      <c r="G1317" s="295">
        <v>712.2</v>
      </c>
      <c r="H1317" s="155" t="s">
        <v>19</v>
      </c>
      <c r="I1317" s="224"/>
      <c r="L1317" s="74"/>
    </row>
    <row r="1318" spans="1:12" ht="30" customHeight="1">
      <c r="A1318" s="37">
        <v>885</v>
      </c>
      <c r="B1318" s="38" t="s">
        <v>28</v>
      </c>
      <c r="C1318" s="43" t="s">
        <v>29</v>
      </c>
      <c r="D1318" s="40" t="s">
        <v>17</v>
      </c>
      <c r="E1318" s="41" t="s">
        <v>25</v>
      </c>
      <c r="F1318" s="41">
        <v>2</v>
      </c>
      <c r="G1318" s="295">
        <v>118</v>
      </c>
      <c r="H1318" s="155" t="s">
        <v>19</v>
      </c>
      <c r="I1318" s="224"/>
      <c r="L1318" s="74"/>
    </row>
    <row r="1319" spans="1:12" ht="29.25" customHeight="1">
      <c r="A1319" s="37">
        <v>886</v>
      </c>
      <c r="B1319" s="38" t="s">
        <v>30</v>
      </c>
      <c r="C1319" s="43" t="s">
        <v>31</v>
      </c>
      <c r="D1319" s="40" t="s">
        <v>17</v>
      </c>
      <c r="E1319" s="41" t="s">
        <v>22</v>
      </c>
      <c r="F1319" s="41">
        <v>3</v>
      </c>
      <c r="G1319" s="295">
        <v>78.78</v>
      </c>
      <c r="H1319" s="155" t="s">
        <v>19</v>
      </c>
      <c r="I1319" s="224"/>
      <c r="L1319" s="74"/>
    </row>
    <row r="1320" spans="1:12" ht="29.25" customHeight="1">
      <c r="A1320" s="37">
        <v>887</v>
      </c>
      <c r="B1320" s="38" t="s">
        <v>32</v>
      </c>
      <c r="C1320" s="43" t="s">
        <v>33</v>
      </c>
      <c r="D1320" s="40" t="s">
        <v>17</v>
      </c>
      <c r="E1320" s="41" t="s">
        <v>34</v>
      </c>
      <c r="F1320" s="41">
        <v>40</v>
      </c>
      <c r="G1320" s="295">
        <v>4800</v>
      </c>
      <c r="H1320" s="155" t="s">
        <v>19</v>
      </c>
      <c r="I1320" s="224"/>
      <c r="L1320" s="74"/>
    </row>
    <row r="1321" spans="1:12" ht="29.25" customHeight="1">
      <c r="A1321" s="37">
        <v>888</v>
      </c>
      <c r="B1321" s="38" t="s">
        <v>35</v>
      </c>
      <c r="C1321" s="43" t="s">
        <v>36</v>
      </c>
      <c r="D1321" s="40" t="s">
        <v>17</v>
      </c>
      <c r="E1321" s="41" t="s">
        <v>25</v>
      </c>
      <c r="F1321" s="41">
        <v>2</v>
      </c>
      <c r="G1321" s="295">
        <v>1086.64</v>
      </c>
      <c r="H1321" s="155" t="s">
        <v>19</v>
      </c>
      <c r="I1321" s="224"/>
      <c r="L1321" s="74"/>
    </row>
    <row r="1322" spans="1:12" ht="45" customHeight="1">
      <c r="A1322" s="37">
        <v>889</v>
      </c>
      <c r="B1322" s="38" t="s">
        <v>37</v>
      </c>
      <c r="C1322" s="43" t="s">
        <v>38</v>
      </c>
      <c r="D1322" s="40" t="s">
        <v>17</v>
      </c>
      <c r="E1322" s="41" t="s">
        <v>25</v>
      </c>
      <c r="F1322" s="41">
        <v>1</v>
      </c>
      <c r="G1322" s="295">
        <v>1000.34</v>
      </c>
      <c r="H1322" s="155" t="s">
        <v>19</v>
      </c>
      <c r="I1322" s="224"/>
      <c r="L1322" s="74"/>
    </row>
    <row r="1323" spans="1:12" ht="29.25" customHeight="1">
      <c r="A1323" s="37">
        <v>890</v>
      </c>
      <c r="B1323" s="38" t="s">
        <v>39</v>
      </c>
      <c r="C1323" s="43" t="s">
        <v>40</v>
      </c>
      <c r="D1323" s="40" t="s">
        <v>17</v>
      </c>
      <c r="E1323" s="41" t="s">
        <v>25</v>
      </c>
      <c r="F1323" s="41">
        <v>1</v>
      </c>
      <c r="G1323" s="295">
        <v>209.45</v>
      </c>
      <c r="H1323" s="155" t="s">
        <v>19</v>
      </c>
      <c r="I1323" s="224"/>
      <c r="L1323" s="74"/>
    </row>
    <row r="1324" spans="1:12" ht="29.25" customHeight="1">
      <c r="A1324" s="37">
        <v>891</v>
      </c>
      <c r="B1324" s="38" t="s">
        <v>41</v>
      </c>
      <c r="C1324" s="43" t="s">
        <v>42</v>
      </c>
      <c r="D1324" s="40" t="s">
        <v>17</v>
      </c>
      <c r="E1324" s="41" t="s">
        <v>25</v>
      </c>
      <c r="F1324" s="41">
        <v>1</v>
      </c>
      <c r="G1324" s="295">
        <v>152</v>
      </c>
      <c r="H1324" s="155" t="s">
        <v>19</v>
      </c>
      <c r="I1324" s="224"/>
      <c r="L1324" s="74"/>
    </row>
    <row r="1325" spans="1:12" ht="29.25" customHeight="1">
      <c r="A1325" s="37">
        <v>892</v>
      </c>
      <c r="B1325" s="38" t="s">
        <v>43</v>
      </c>
      <c r="C1325" s="43" t="s">
        <v>44</v>
      </c>
      <c r="D1325" s="40" t="s">
        <v>17</v>
      </c>
      <c r="E1325" s="41" t="s">
        <v>25</v>
      </c>
      <c r="F1325" s="41">
        <v>1</v>
      </c>
      <c r="G1325" s="295">
        <v>813.61</v>
      </c>
      <c r="H1325" s="155" t="s">
        <v>19</v>
      </c>
      <c r="I1325" s="224"/>
      <c r="L1325" s="74"/>
    </row>
    <row r="1326" spans="1:12" ht="29.25" customHeight="1">
      <c r="A1326" s="37">
        <v>893</v>
      </c>
      <c r="B1326" s="38" t="s">
        <v>45</v>
      </c>
      <c r="C1326" s="43" t="s">
        <v>44</v>
      </c>
      <c r="D1326" s="40" t="s">
        <v>17</v>
      </c>
      <c r="E1326" s="41" t="s">
        <v>25</v>
      </c>
      <c r="F1326" s="41">
        <v>5</v>
      </c>
      <c r="G1326" s="295">
        <v>100</v>
      </c>
      <c r="H1326" s="155" t="s">
        <v>19</v>
      </c>
      <c r="I1326" s="224"/>
      <c r="L1326" s="74"/>
    </row>
    <row r="1327" spans="1:12" ht="60" customHeight="1">
      <c r="A1327" s="37">
        <v>894</v>
      </c>
      <c r="B1327" s="38" t="s">
        <v>46</v>
      </c>
      <c r="C1327" s="43" t="s">
        <v>47</v>
      </c>
      <c r="D1327" s="40" t="s">
        <v>17</v>
      </c>
      <c r="E1327" s="41" t="s">
        <v>48</v>
      </c>
      <c r="F1327" s="41">
        <v>5</v>
      </c>
      <c r="G1327" s="295">
        <v>220</v>
      </c>
      <c r="H1327" s="155" t="s">
        <v>19</v>
      </c>
      <c r="I1327" s="224"/>
      <c r="L1327" s="74"/>
    </row>
    <row r="1328" spans="1:12" ht="29.25" customHeight="1">
      <c r="A1328" s="37">
        <v>895</v>
      </c>
      <c r="B1328" s="38" t="s">
        <v>49</v>
      </c>
      <c r="C1328" s="43" t="s">
        <v>24</v>
      </c>
      <c r="D1328" s="40" t="s">
        <v>17</v>
      </c>
      <c r="E1328" s="41" t="s">
        <v>25</v>
      </c>
      <c r="F1328" s="41">
        <v>1</v>
      </c>
      <c r="G1328" s="295">
        <v>180</v>
      </c>
      <c r="H1328" s="155" t="s">
        <v>19</v>
      </c>
      <c r="I1328" s="224"/>
      <c r="L1328" s="74"/>
    </row>
    <row r="1329" spans="1:12" ht="29.25" customHeight="1">
      <c r="A1329" s="37">
        <v>896</v>
      </c>
      <c r="B1329" s="38" t="s">
        <v>50</v>
      </c>
      <c r="C1329" s="43" t="s">
        <v>24</v>
      </c>
      <c r="D1329" s="40" t="s">
        <v>17</v>
      </c>
      <c r="E1329" s="41" t="s">
        <v>25</v>
      </c>
      <c r="F1329" s="41">
        <v>3</v>
      </c>
      <c r="G1329" s="42">
        <v>211.11</v>
      </c>
      <c r="H1329" s="155" t="s">
        <v>19</v>
      </c>
      <c r="I1329" s="224"/>
      <c r="L1329" s="74"/>
    </row>
    <row r="1330" spans="1:12" ht="30" customHeight="1">
      <c r="A1330" s="37">
        <v>897</v>
      </c>
      <c r="B1330" s="38" t="s">
        <v>51</v>
      </c>
      <c r="C1330" s="43" t="s">
        <v>52</v>
      </c>
      <c r="D1330" s="40" t="s">
        <v>17</v>
      </c>
      <c r="E1330" s="41" t="s">
        <v>25</v>
      </c>
      <c r="F1330" s="41">
        <v>40</v>
      </c>
      <c r="G1330" s="295">
        <v>796.4</v>
      </c>
      <c r="H1330" s="155" t="s">
        <v>19</v>
      </c>
      <c r="I1330" s="224"/>
      <c r="L1330" s="74">
        <f>G1330-K1330</f>
        <v>796.4</v>
      </c>
    </row>
    <row r="1331" spans="1:12" ht="30" customHeight="1">
      <c r="A1331" s="37">
        <v>898</v>
      </c>
      <c r="B1331" s="38" t="s">
        <v>53</v>
      </c>
      <c r="C1331" s="43" t="s">
        <v>54</v>
      </c>
      <c r="D1331" s="40" t="s">
        <v>17</v>
      </c>
      <c r="E1331" s="41" t="s">
        <v>25</v>
      </c>
      <c r="F1331" s="41">
        <v>3</v>
      </c>
      <c r="G1331" s="295">
        <v>272.04</v>
      </c>
      <c r="H1331" s="155" t="s">
        <v>19</v>
      </c>
      <c r="I1331" s="224"/>
      <c r="L1331" s="74"/>
    </row>
    <row r="1332" spans="1:12" ht="45" customHeight="1">
      <c r="A1332" s="37">
        <v>899</v>
      </c>
      <c r="B1332" s="38" t="s">
        <v>55</v>
      </c>
      <c r="C1332" s="43" t="s">
        <v>56</v>
      </c>
      <c r="D1332" s="40" t="s">
        <v>17</v>
      </c>
      <c r="E1332" s="41" t="s">
        <v>25</v>
      </c>
      <c r="F1332" s="41">
        <v>1</v>
      </c>
      <c r="G1332" s="295">
        <v>6443.8</v>
      </c>
      <c r="H1332" s="155" t="s">
        <v>19</v>
      </c>
      <c r="I1332" s="224"/>
      <c r="L1332" s="74"/>
    </row>
    <row r="1333" spans="1:12" ht="30" customHeight="1">
      <c r="A1333" s="37">
        <v>900</v>
      </c>
      <c r="B1333" s="38" t="s">
        <v>57</v>
      </c>
      <c r="C1333" s="40" t="s">
        <v>58</v>
      </c>
      <c r="D1333" s="40" t="s">
        <v>17</v>
      </c>
      <c r="E1333" s="41" t="s">
        <v>25</v>
      </c>
      <c r="F1333" s="41">
        <v>1</v>
      </c>
      <c r="G1333" s="295">
        <v>2500.2</v>
      </c>
      <c r="H1333" s="155" t="s">
        <v>19</v>
      </c>
      <c r="I1333" s="224"/>
      <c r="L1333" s="74"/>
    </row>
    <row r="1334" spans="1:14" s="10" customFormat="1" ht="30" customHeight="1">
      <c r="A1334" s="296"/>
      <c r="B1334" s="260" t="s">
        <v>59</v>
      </c>
      <c r="C1334" s="261"/>
      <c r="D1334" s="262"/>
      <c r="E1334" s="263"/>
      <c r="F1334" s="263"/>
      <c r="G1334" s="297">
        <f>SUM(G1314:G1333)</f>
        <v>22030.000000000004</v>
      </c>
      <c r="H1334" s="265"/>
      <c r="I1334" s="224"/>
      <c r="K1334" s="267">
        <f>SUM(K1314:K1333)</f>
        <v>0</v>
      </c>
      <c r="L1334" s="267">
        <f>SUM(L1314:L1333)</f>
        <v>1846.4</v>
      </c>
      <c r="M1334" s="10">
        <v>8676.17</v>
      </c>
      <c r="N1334" s="267">
        <f>M1334-K1334</f>
        <v>8676.17</v>
      </c>
    </row>
    <row r="1335" spans="1:14" ht="45" customHeight="1">
      <c r="A1335" s="37">
        <v>901</v>
      </c>
      <c r="B1335" s="38" t="s">
        <v>60</v>
      </c>
      <c r="C1335" s="40" t="s">
        <v>61</v>
      </c>
      <c r="D1335" s="40" t="s">
        <v>62</v>
      </c>
      <c r="E1335" s="41" t="s">
        <v>34</v>
      </c>
      <c r="F1335" s="69">
        <v>3</v>
      </c>
      <c r="G1335" s="295">
        <v>130.8</v>
      </c>
      <c r="H1335" s="40" t="s">
        <v>63</v>
      </c>
      <c r="I1335" s="224"/>
      <c r="K1335" s="74"/>
      <c r="L1335" s="74"/>
      <c r="N1335" s="74"/>
    </row>
    <row r="1336" spans="1:14" ht="30" customHeight="1">
      <c r="A1336" s="37">
        <v>902</v>
      </c>
      <c r="B1336" s="38" t="s">
        <v>64</v>
      </c>
      <c r="C1336" s="40" t="s">
        <v>65</v>
      </c>
      <c r="D1336" s="40" t="s">
        <v>62</v>
      </c>
      <c r="E1336" s="41" t="s">
        <v>34</v>
      </c>
      <c r="F1336" s="69">
        <v>180</v>
      </c>
      <c r="G1336" s="295">
        <f>1400+1680</f>
        <v>3080</v>
      </c>
      <c r="H1336" s="40" t="s">
        <v>63</v>
      </c>
      <c r="I1336" s="224"/>
      <c r="K1336" s="74"/>
      <c r="L1336" s="74"/>
      <c r="N1336" s="74"/>
    </row>
    <row r="1337" spans="1:14" ht="45" customHeight="1">
      <c r="A1337" s="37">
        <v>903</v>
      </c>
      <c r="B1337" s="38" t="s">
        <v>66</v>
      </c>
      <c r="C1337" s="43" t="s">
        <v>67</v>
      </c>
      <c r="D1337" s="40" t="s">
        <v>62</v>
      </c>
      <c r="E1337" s="41" t="s">
        <v>68</v>
      </c>
      <c r="F1337" s="69">
        <v>88</v>
      </c>
      <c r="G1337" s="295">
        <v>654.72</v>
      </c>
      <c r="H1337" s="40" t="s">
        <v>63</v>
      </c>
      <c r="I1337" s="224"/>
      <c r="K1337" s="74"/>
      <c r="L1337" s="74"/>
      <c r="N1337" s="74"/>
    </row>
    <row r="1338" spans="1:14" ht="30" customHeight="1">
      <c r="A1338" s="37">
        <v>904</v>
      </c>
      <c r="B1338" s="38" t="s">
        <v>69</v>
      </c>
      <c r="C1338" s="40" t="s">
        <v>70</v>
      </c>
      <c r="D1338" s="40" t="s">
        <v>62</v>
      </c>
      <c r="E1338" s="41" t="s">
        <v>34</v>
      </c>
      <c r="F1338" s="69">
        <v>1</v>
      </c>
      <c r="G1338" s="295">
        <v>20</v>
      </c>
      <c r="H1338" s="40" t="s">
        <v>63</v>
      </c>
      <c r="I1338" s="224"/>
      <c r="K1338" s="74"/>
      <c r="L1338" s="74"/>
      <c r="N1338" s="74"/>
    </row>
    <row r="1339" spans="1:14" ht="30" customHeight="1">
      <c r="A1339" s="37">
        <v>905</v>
      </c>
      <c r="B1339" s="38" t="s">
        <v>71</v>
      </c>
      <c r="C1339" s="71" t="s">
        <v>72</v>
      </c>
      <c r="D1339" s="40" t="s">
        <v>62</v>
      </c>
      <c r="E1339" s="41" t="s">
        <v>34</v>
      </c>
      <c r="F1339" s="69">
        <v>15</v>
      </c>
      <c r="G1339" s="295">
        <f>85+153</f>
        <v>238</v>
      </c>
      <c r="H1339" s="40" t="s">
        <v>63</v>
      </c>
      <c r="I1339" s="224"/>
      <c r="K1339" s="74"/>
      <c r="L1339" s="74"/>
      <c r="N1339" s="74"/>
    </row>
    <row r="1340" spans="1:14" ht="45" customHeight="1">
      <c r="A1340" s="37">
        <v>906</v>
      </c>
      <c r="B1340" s="38" t="s">
        <v>73</v>
      </c>
      <c r="C1340" s="40" t="s">
        <v>74</v>
      </c>
      <c r="D1340" s="40" t="s">
        <v>62</v>
      </c>
      <c r="E1340" s="41" t="s">
        <v>34</v>
      </c>
      <c r="F1340" s="69">
        <v>15</v>
      </c>
      <c r="G1340" s="295">
        <f>122+230</f>
        <v>352</v>
      </c>
      <c r="H1340" s="40" t="s">
        <v>63</v>
      </c>
      <c r="I1340" s="224"/>
      <c r="K1340" s="74"/>
      <c r="L1340" s="74"/>
      <c r="N1340" s="74"/>
    </row>
    <row r="1341" spans="1:14" ht="30" customHeight="1">
      <c r="A1341" s="37">
        <v>907</v>
      </c>
      <c r="B1341" s="38" t="s">
        <v>75</v>
      </c>
      <c r="C1341" s="71" t="s">
        <v>76</v>
      </c>
      <c r="D1341" s="40" t="s">
        <v>62</v>
      </c>
      <c r="E1341" s="41" t="s">
        <v>77</v>
      </c>
      <c r="F1341" s="69">
        <v>9</v>
      </c>
      <c r="G1341" s="295">
        <f>290.8+381</f>
        <v>671.8</v>
      </c>
      <c r="H1341" s="40" t="s">
        <v>63</v>
      </c>
      <c r="I1341" s="224"/>
      <c r="K1341" s="74"/>
      <c r="L1341" s="74"/>
      <c r="N1341" s="74"/>
    </row>
    <row r="1342" spans="1:14" ht="30" customHeight="1">
      <c r="A1342" s="37">
        <v>908</v>
      </c>
      <c r="B1342" s="38" t="s">
        <v>78</v>
      </c>
      <c r="C1342" s="40" t="s">
        <v>79</v>
      </c>
      <c r="D1342" s="40" t="s">
        <v>62</v>
      </c>
      <c r="E1342" s="41" t="s">
        <v>34</v>
      </c>
      <c r="F1342" s="69">
        <v>7</v>
      </c>
      <c r="G1342" s="295">
        <f>922.8+1231.6</f>
        <v>2154.3999999999996</v>
      </c>
      <c r="H1342" s="40" t="s">
        <v>63</v>
      </c>
      <c r="I1342" s="224"/>
      <c r="K1342" s="74"/>
      <c r="L1342" s="74"/>
      <c r="N1342" s="74"/>
    </row>
    <row r="1343" spans="1:14" ht="45" customHeight="1">
      <c r="A1343" s="37">
        <v>909</v>
      </c>
      <c r="B1343" s="38" t="s">
        <v>80</v>
      </c>
      <c r="C1343" s="40" t="s">
        <v>81</v>
      </c>
      <c r="D1343" s="40" t="s">
        <v>62</v>
      </c>
      <c r="E1343" s="41" t="s">
        <v>82</v>
      </c>
      <c r="F1343" s="69">
        <f>1.8+11.7</f>
        <v>13.5</v>
      </c>
      <c r="G1343" s="295">
        <f>77.4+465.66</f>
        <v>543.0600000000001</v>
      </c>
      <c r="H1343" s="40" t="s">
        <v>63</v>
      </c>
      <c r="I1343" s="224"/>
      <c r="K1343" s="74"/>
      <c r="L1343" s="74"/>
      <c r="N1343" s="74"/>
    </row>
    <row r="1344" spans="1:14" ht="30" customHeight="1">
      <c r="A1344" s="37">
        <v>910</v>
      </c>
      <c r="B1344" s="38" t="s">
        <v>83</v>
      </c>
      <c r="C1344" s="40" t="s">
        <v>72</v>
      </c>
      <c r="D1344" s="40" t="s">
        <v>62</v>
      </c>
      <c r="E1344" s="41" t="s">
        <v>34</v>
      </c>
      <c r="F1344" s="69">
        <v>21</v>
      </c>
      <c r="G1344" s="295">
        <f>227.5+317.8</f>
        <v>545.3</v>
      </c>
      <c r="H1344" s="40" t="s">
        <v>63</v>
      </c>
      <c r="I1344" s="224"/>
      <c r="K1344" s="74"/>
      <c r="L1344" s="74"/>
      <c r="N1344" s="74"/>
    </row>
    <row r="1345" spans="1:14" ht="45" customHeight="1">
      <c r="A1345" s="37">
        <v>911</v>
      </c>
      <c r="B1345" s="38" t="s">
        <v>84</v>
      </c>
      <c r="C1345" s="40" t="s">
        <v>85</v>
      </c>
      <c r="D1345" s="40" t="s">
        <v>62</v>
      </c>
      <c r="E1345" s="41" t="s">
        <v>34</v>
      </c>
      <c r="F1345" s="69">
        <v>14.3</v>
      </c>
      <c r="G1345" s="295">
        <v>1668.81</v>
      </c>
      <c r="H1345" s="40" t="s">
        <v>63</v>
      </c>
      <c r="I1345" s="224"/>
      <c r="K1345" s="74"/>
      <c r="L1345" s="74"/>
      <c r="N1345" s="74"/>
    </row>
    <row r="1346" spans="1:14" ht="30" customHeight="1">
      <c r="A1346" s="37">
        <v>912</v>
      </c>
      <c r="B1346" s="38" t="s">
        <v>665</v>
      </c>
      <c r="C1346" s="40" t="s">
        <v>666</v>
      </c>
      <c r="D1346" s="40" t="s">
        <v>62</v>
      </c>
      <c r="E1346" s="41" t="s">
        <v>34</v>
      </c>
      <c r="F1346" s="69">
        <v>15</v>
      </c>
      <c r="G1346" s="295">
        <v>1917</v>
      </c>
      <c r="H1346" s="40" t="s">
        <v>63</v>
      </c>
      <c r="I1346" s="224"/>
      <c r="K1346" s="74"/>
      <c r="L1346" s="74"/>
      <c r="N1346" s="74"/>
    </row>
    <row r="1347" spans="1:14" ht="30" customHeight="1">
      <c r="A1347" s="37">
        <v>913</v>
      </c>
      <c r="B1347" s="38" t="s">
        <v>88</v>
      </c>
      <c r="C1347" s="40" t="s">
        <v>85</v>
      </c>
      <c r="D1347" s="40" t="s">
        <v>62</v>
      </c>
      <c r="E1347" s="41" t="s">
        <v>34</v>
      </c>
      <c r="F1347" s="69">
        <v>8</v>
      </c>
      <c r="G1347" s="295">
        <f>369.9+623</f>
        <v>992.9</v>
      </c>
      <c r="H1347" s="40" t="s">
        <v>63</v>
      </c>
      <c r="I1347" s="224"/>
      <c r="K1347" s="74"/>
      <c r="L1347" s="74"/>
      <c r="N1347" s="74"/>
    </row>
    <row r="1348" spans="1:14" ht="30" customHeight="1">
      <c r="A1348" s="37">
        <v>914</v>
      </c>
      <c r="B1348" s="38" t="s">
        <v>89</v>
      </c>
      <c r="C1348" s="40" t="s">
        <v>90</v>
      </c>
      <c r="D1348" s="40" t="s">
        <v>62</v>
      </c>
      <c r="E1348" s="41" t="s">
        <v>34</v>
      </c>
      <c r="F1348" s="69">
        <v>18</v>
      </c>
      <c r="G1348" s="295">
        <f>298.2+594</f>
        <v>892.2</v>
      </c>
      <c r="H1348" s="40" t="s">
        <v>63</v>
      </c>
      <c r="I1348" s="224"/>
      <c r="K1348" s="74"/>
      <c r="L1348" s="74"/>
      <c r="N1348" s="74"/>
    </row>
    <row r="1349" spans="1:14" ht="30" customHeight="1">
      <c r="A1349" s="37">
        <v>915</v>
      </c>
      <c r="B1349" s="38" t="s">
        <v>91</v>
      </c>
      <c r="C1349" s="40" t="s">
        <v>92</v>
      </c>
      <c r="D1349" s="40" t="s">
        <v>62</v>
      </c>
      <c r="E1349" s="41" t="s">
        <v>34</v>
      </c>
      <c r="F1349" s="69">
        <v>26</v>
      </c>
      <c r="G1349" s="295">
        <f>1838.1+2508</f>
        <v>4346.1</v>
      </c>
      <c r="H1349" s="40" t="s">
        <v>63</v>
      </c>
      <c r="I1349" s="224"/>
      <c r="K1349" s="74"/>
      <c r="L1349" s="74"/>
      <c r="N1349" s="74"/>
    </row>
    <row r="1350" spans="1:14" ht="30" customHeight="1">
      <c r="A1350" s="37">
        <v>916</v>
      </c>
      <c r="B1350" s="38" t="s">
        <v>93</v>
      </c>
      <c r="C1350" s="40" t="s">
        <v>94</v>
      </c>
      <c r="D1350" s="40" t="s">
        <v>62</v>
      </c>
      <c r="E1350" s="41" t="s">
        <v>34</v>
      </c>
      <c r="F1350" s="69">
        <f>1.52+9.88</f>
        <v>11.4</v>
      </c>
      <c r="G1350" s="295">
        <f>195.93+1284.4</f>
        <v>1480.3300000000002</v>
      </c>
      <c r="H1350" s="40" t="s">
        <v>63</v>
      </c>
      <c r="I1350" s="224"/>
      <c r="K1350" s="74"/>
      <c r="L1350" s="74"/>
      <c r="N1350" s="74"/>
    </row>
    <row r="1351" spans="1:14" ht="30" customHeight="1">
      <c r="A1351" s="37">
        <v>917</v>
      </c>
      <c r="B1351" s="40" t="s">
        <v>95</v>
      </c>
      <c r="C1351" s="40" t="s">
        <v>96</v>
      </c>
      <c r="D1351" s="40" t="s">
        <v>62</v>
      </c>
      <c r="E1351" s="41" t="s">
        <v>34</v>
      </c>
      <c r="F1351" s="69">
        <v>15</v>
      </c>
      <c r="G1351" s="295">
        <f>929.5+2116</f>
        <v>3045.5</v>
      </c>
      <c r="H1351" s="40" t="s">
        <v>63</v>
      </c>
      <c r="I1351" s="224"/>
      <c r="K1351" s="74"/>
      <c r="L1351" s="74"/>
      <c r="N1351" s="74"/>
    </row>
    <row r="1352" spans="1:14" ht="30" customHeight="1">
      <c r="A1352" s="37">
        <v>918</v>
      </c>
      <c r="B1352" s="40" t="s">
        <v>667</v>
      </c>
      <c r="C1352" s="40" t="s">
        <v>668</v>
      </c>
      <c r="D1352" s="40" t="s">
        <v>62</v>
      </c>
      <c r="E1352" s="41" t="s">
        <v>34</v>
      </c>
      <c r="F1352" s="69">
        <f>39</f>
        <v>39</v>
      </c>
      <c r="G1352" s="295">
        <f>3464.5+5060</f>
        <v>8524.5</v>
      </c>
      <c r="H1352" s="40" t="s">
        <v>63</v>
      </c>
      <c r="I1352" s="224"/>
      <c r="K1352" s="74"/>
      <c r="L1352" s="74"/>
      <c r="N1352" s="74"/>
    </row>
    <row r="1353" spans="1:14" ht="45" customHeight="1">
      <c r="A1353" s="37">
        <v>919</v>
      </c>
      <c r="B1353" s="54" t="s">
        <v>98</v>
      </c>
      <c r="C1353" s="40" t="s">
        <v>61</v>
      </c>
      <c r="D1353" s="40" t="s">
        <v>62</v>
      </c>
      <c r="E1353" s="41" t="s">
        <v>25</v>
      </c>
      <c r="F1353" s="69">
        <v>218</v>
      </c>
      <c r="G1353" s="295">
        <f>2757.7+121.96</f>
        <v>2879.66</v>
      </c>
      <c r="H1353" s="40" t="s">
        <v>63</v>
      </c>
      <c r="I1353" s="224"/>
      <c r="K1353" s="74"/>
      <c r="L1353" s="74"/>
      <c r="N1353" s="74"/>
    </row>
    <row r="1354" spans="1:14" ht="30" customHeight="1">
      <c r="A1354" s="37">
        <v>920</v>
      </c>
      <c r="B1354" s="40" t="s">
        <v>99</v>
      </c>
      <c r="C1354" s="40" t="s">
        <v>100</v>
      </c>
      <c r="D1354" s="40" t="s">
        <v>62</v>
      </c>
      <c r="E1354" s="41" t="s">
        <v>34</v>
      </c>
      <c r="F1354" s="69">
        <f>11</f>
        <v>11</v>
      </c>
      <c r="G1354" s="295">
        <f>592.42+2755.8</f>
        <v>3348.2200000000003</v>
      </c>
      <c r="H1354" s="40" t="s">
        <v>63</v>
      </c>
      <c r="I1354" s="224"/>
      <c r="K1354" s="74"/>
      <c r="L1354" s="74"/>
      <c r="N1354" s="74"/>
    </row>
    <row r="1355" spans="1:14" ht="30" customHeight="1">
      <c r="A1355" s="37">
        <v>921</v>
      </c>
      <c r="B1355" s="40" t="s">
        <v>101</v>
      </c>
      <c r="C1355" s="40" t="s">
        <v>102</v>
      </c>
      <c r="D1355" s="40" t="s">
        <v>62</v>
      </c>
      <c r="E1355" s="41" t="s">
        <v>34</v>
      </c>
      <c r="F1355" s="69">
        <v>1.5</v>
      </c>
      <c r="G1355" s="295">
        <v>892.5</v>
      </c>
      <c r="H1355" s="40" t="s">
        <v>63</v>
      </c>
      <c r="I1355" s="224"/>
      <c r="K1355" s="74"/>
      <c r="L1355" s="74"/>
      <c r="N1355" s="74"/>
    </row>
    <row r="1356" spans="1:14" ht="30" customHeight="1">
      <c r="A1356" s="37">
        <v>922</v>
      </c>
      <c r="B1356" s="40" t="s">
        <v>103</v>
      </c>
      <c r="C1356" s="40" t="s">
        <v>104</v>
      </c>
      <c r="D1356" s="40" t="s">
        <v>62</v>
      </c>
      <c r="E1356" s="41" t="s">
        <v>25</v>
      </c>
      <c r="F1356" s="69">
        <v>600</v>
      </c>
      <c r="G1356" s="295">
        <v>2784</v>
      </c>
      <c r="H1356" s="40" t="s">
        <v>63</v>
      </c>
      <c r="I1356" s="224"/>
      <c r="K1356" s="74"/>
      <c r="L1356" s="74"/>
      <c r="N1356" s="74"/>
    </row>
    <row r="1357" spans="1:14" ht="30" customHeight="1">
      <c r="A1357" s="37">
        <v>923</v>
      </c>
      <c r="B1357" s="38" t="s">
        <v>105</v>
      </c>
      <c r="C1357" s="40" t="s">
        <v>70</v>
      </c>
      <c r="D1357" s="40" t="s">
        <v>62</v>
      </c>
      <c r="E1357" s="41" t="s">
        <v>34</v>
      </c>
      <c r="F1357" s="69">
        <v>18</v>
      </c>
      <c r="G1357" s="295">
        <f>203.4+394.8</f>
        <v>598.2</v>
      </c>
      <c r="H1357" s="40" t="s">
        <v>63</v>
      </c>
      <c r="I1357" s="224"/>
      <c r="K1357" s="74"/>
      <c r="L1357" s="74"/>
      <c r="N1357" s="74"/>
    </row>
    <row r="1358" spans="1:14" s="10" customFormat="1" ht="30" customHeight="1">
      <c r="A1358" s="296"/>
      <c r="B1358" s="260" t="s">
        <v>106</v>
      </c>
      <c r="C1358" s="261"/>
      <c r="D1358" s="262"/>
      <c r="E1358" s="263"/>
      <c r="F1358" s="263"/>
      <c r="G1358" s="297">
        <f>SUM(G1335:G1357)</f>
        <v>41760</v>
      </c>
      <c r="H1358" s="265"/>
      <c r="I1358" s="224"/>
      <c r="K1358" s="267"/>
      <c r="L1358" s="267"/>
      <c r="N1358" s="267"/>
    </row>
    <row r="1359" spans="1:12" ht="30" customHeight="1">
      <c r="A1359" s="37">
        <v>924</v>
      </c>
      <c r="B1359" s="38" t="s">
        <v>107</v>
      </c>
      <c r="C1359" s="40" t="s">
        <v>108</v>
      </c>
      <c r="D1359" s="40" t="s">
        <v>109</v>
      </c>
      <c r="E1359" s="41" t="s">
        <v>110</v>
      </c>
      <c r="F1359" s="41">
        <v>6</v>
      </c>
      <c r="G1359" s="42">
        <v>566.4</v>
      </c>
      <c r="H1359" s="40" t="s">
        <v>63</v>
      </c>
      <c r="I1359" s="224"/>
      <c r="L1359" s="74">
        <f>G1359-K1359</f>
        <v>566.4</v>
      </c>
    </row>
    <row r="1360" spans="1:12" ht="30" customHeight="1">
      <c r="A1360" s="37">
        <v>925</v>
      </c>
      <c r="B1360" s="38" t="s">
        <v>111</v>
      </c>
      <c r="C1360" s="40" t="s">
        <v>112</v>
      </c>
      <c r="D1360" s="40" t="s">
        <v>109</v>
      </c>
      <c r="E1360" s="41" t="s">
        <v>113</v>
      </c>
      <c r="F1360" s="41" t="s">
        <v>114</v>
      </c>
      <c r="G1360" s="42">
        <v>1080</v>
      </c>
      <c r="H1360" s="40" t="s">
        <v>63</v>
      </c>
      <c r="I1360" s="224"/>
      <c r="K1360" s="12">
        <f>200</f>
        <v>200</v>
      </c>
      <c r="L1360" s="74">
        <f aca="true" t="shared" si="16" ref="L1360:L1368">G1360-K1360</f>
        <v>880</v>
      </c>
    </row>
    <row r="1361" spans="1:12" ht="30" customHeight="1">
      <c r="A1361" s="37">
        <v>926</v>
      </c>
      <c r="B1361" s="38" t="s">
        <v>115</v>
      </c>
      <c r="C1361" s="40" t="s">
        <v>116</v>
      </c>
      <c r="D1361" s="40" t="s">
        <v>109</v>
      </c>
      <c r="E1361" s="41" t="s">
        <v>113</v>
      </c>
      <c r="F1361" s="50" t="s">
        <v>117</v>
      </c>
      <c r="G1361" s="42">
        <v>1053</v>
      </c>
      <c r="H1361" s="40" t="s">
        <v>63</v>
      </c>
      <c r="I1361" s="224"/>
      <c r="K1361" s="12">
        <f>350</f>
        <v>350</v>
      </c>
      <c r="L1361" s="74">
        <f t="shared" si="16"/>
        <v>703</v>
      </c>
    </row>
    <row r="1362" spans="1:12" ht="45" customHeight="1">
      <c r="A1362" s="37">
        <v>927</v>
      </c>
      <c r="B1362" s="38" t="s">
        <v>118</v>
      </c>
      <c r="C1362" s="40" t="s">
        <v>119</v>
      </c>
      <c r="D1362" s="40" t="s">
        <v>109</v>
      </c>
      <c r="E1362" s="41" t="s">
        <v>120</v>
      </c>
      <c r="F1362" s="41" t="s">
        <v>121</v>
      </c>
      <c r="G1362" s="42">
        <v>3000.59</v>
      </c>
      <c r="H1362" s="40" t="s">
        <v>63</v>
      </c>
      <c r="I1362" s="224"/>
      <c r="K1362" s="12">
        <f>934.4</f>
        <v>934.4</v>
      </c>
      <c r="L1362" s="74">
        <f t="shared" si="16"/>
        <v>2066.19</v>
      </c>
    </row>
    <row r="1363" spans="1:12" ht="30" customHeight="1">
      <c r="A1363" s="37">
        <v>928</v>
      </c>
      <c r="B1363" s="38" t="s">
        <v>122</v>
      </c>
      <c r="C1363" s="40" t="s">
        <v>123</v>
      </c>
      <c r="D1363" s="40" t="s">
        <v>109</v>
      </c>
      <c r="E1363" s="41" t="s">
        <v>113</v>
      </c>
      <c r="F1363" s="41" t="s">
        <v>117</v>
      </c>
      <c r="G1363" s="42">
        <v>1413</v>
      </c>
      <c r="H1363" s="40" t="s">
        <v>63</v>
      </c>
      <c r="I1363" s="224"/>
      <c r="K1363" s="12">
        <f>470.96</f>
        <v>470.96</v>
      </c>
      <c r="L1363" s="74">
        <f t="shared" si="16"/>
        <v>942.04</v>
      </c>
    </row>
    <row r="1364" spans="1:12" s="6" customFormat="1" ht="29.25" customHeight="1">
      <c r="A1364" s="37">
        <v>929</v>
      </c>
      <c r="B1364" s="160" t="s">
        <v>124</v>
      </c>
      <c r="C1364" s="161" t="s">
        <v>125</v>
      </c>
      <c r="D1364" s="133" t="s">
        <v>109</v>
      </c>
      <c r="E1364" s="41" t="s">
        <v>126</v>
      </c>
      <c r="F1364" s="41">
        <v>49.8</v>
      </c>
      <c r="G1364" s="42">
        <v>147.41</v>
      </c>
      <c r="H1364" s="40" t="s">
        <v>19</v>
      </c>
      <c r="I1364" s="224"/>
      <c r="L1364" s="166">
        <f t="shared" si="16"/>
        <v>147.41</v>
      </c>
    </row>
    <row r="1365" spans="1:12" s="6" customFormat="1" ht="29.25" customHeight="1">
      <c r="A1365" s="37">
        <v>930</v>
      </c>
      <c r="B1365" s="160" t="s">
        <v>127</v>
      </c>
      <c r="C1365" s="161" t="s">
        <v>125</v>
      </c>
      <c r="D1365" s="133" t="s">
        <v>109</v>
      </c>
      <c r="E1365" s="41" t="s">
        <v>126</v>
      </c>
      <c r="F1365" s="41">
        <v>1007.14</v>
      </c>
      <c r="G1365" s="42">
        <v>2598.42</v>
      </c>
      <c r="H1365" s="40" t="s">
        <v>19</v>
      </c>
      <c r="I1365" s="224"/>
      <c r="L1365" s="166">
        <f t="shared" si="16"/>
        <v>2598.42</v>
      </c>
    </row>
    <row r="1366" spans="1:12" ht="45" customHeight="1">
      <c r="A1366" s="37">
        <v>931</v>
      </c>
      <c r="B1366" s="38" t="s">
        <v>128</v>
      </c>
      <c r="C1366" s="88" t="s">
        <v>129</v>
      </c>
      <c r="D1366" s="40" t="s">
        <v>109</v>
      </c>
      <c r="E1366" s="41" t="s">
        <v>25</v>
      </c>
      <c r="F1366" s="41">
        <v>2</v>
      </c>
      <c r="G1366" s="311">
        <v>166610</v>
      </c>
      <c r="H1366" s="155" t="s">
        <v>63</v>
      </c>
      <c r="I1366" s="224"/>
      <c r="L1366" s="74"/>
    </row>
    <row r="1367" spans="1:12" ht="30" customHeight="1">
      <c r="A1367" s="37">
        <v>932</v>
      </c>
      <c r="B1367" s="288" t="s">
        <v>130</v>
      </c>
      <c r="C1367" s="40" t="s">
        <v>131</v>
      </c>
      <c r="D1367" s="40" t="s">
        <v>109</v>
      </c>
      <c r="E1367" s="41" t="s">
        <v>25</v>
      </c>
      <c r="F1367" s="41">
        <v>6</v>
      </c>
      <c r="G1367" s="42">
        <v>1512</v>
      </c>
      <c r="H1367" s="40" t="s">
        <v>132</v>
      </c>
      <c r="I1367" s="224"/>
      <c r="L1367" s="74">
        <f>G1367-K1367</f>
        <v>1512</v>
      </c>
    </row>
    <row r="1368" spans="1:12" ht="60" customHeight="1">
      <c r="A1368" s="37">
        <v>933</v>
      </c>
      <c r="B1368" s="38" t="s">
        <v>133</v>
      </c>
      <c r="C1368" s="40" t="s">
        <v>134</v>
      </c>
      <c r="D1368" s="40" t="s">
        <v>109</v>
      </c>
      <c r="E1368" s="41" t="s">
        <v>113</v>
      </c>
      <c r="F1368" s="41">
        <v>1</v>
      </c>
      <c r="G1368" s="295">
        <v>608.17</v>
      </c>
      <c r="H1368" s="40" t="s">
        <v>63</v>
      </c>
      <c r="I1368" s="224"/>
      <c r="L1368" s="74">
        <f t="shared" si="16"/>
        <v>608.17</v>
      </c>
    </row>
    <row r="1369" spans="1:12" ht="60" customHeight="1">
      <c r="A1369" s="37">
        <v>934</v>
      </c>
      <c r="B1369" s="289" t="s">
        <v>135</v>
      </c>
      <c r="C1369" s="40" t="s">
        <v>134</v>
      </c>
      <c r="D1369" s="40" t="s">
        <v>109</v>
      </c>
      <c r="E1369" s="162" t="s">
        <v>25</v>
      </c>
      <c r="F1369" s="282">
        <v>1</v>
      </c>
      <c r="G1369" s="279">
        <v>7593.01</v>
      </c>
      <c r="H1369" s="40" t="s">
        <v>63</v>
      </c>
      <c r="I1369" s="224"/>
      <c r="L1369" s="74"/>
    </row>
    <row r="1370" spans="1:12" s="10" customFormat="1" ht="30" customHeight="1">
      <c r="A1370" s="296"/>
      <c r="B1370" s="260" t="s">
        <v>136</v>
      </c>
      <c r="C1370" s="261"/>
      <c r="D1370" s="262"/>
      <c r="E1370" s="263"/>
      <c r="F1370" s="263"/>
      <c r="G1370" s="297">
        <f>SUM(G1359:G1369)</f>
        <v>186182.00000000003</v>
      </c>
      <c r="H1370" s="265"/>
      <c r="I1370" s="224"/>
      <c r="K1370" s="267">
        <f>SUM(K1361:K1369)</f>
        <v>1755.3600000000001</v>
      </c>
      <c r="L1370" s="267" t="e">
        <f>SUM(#REF!)</f>
        <v>#REF!</v>
      </c>
    </row>
    <row r="1371" spans="1:11" ht="30" customHeight="1">
      <c r="A1371" s="37">
        <v>935</v>
      </c>
      <c r="B1371" s="38" t="s">
        <v>137</v>
      </c>
      <c r="C1371" s="52" t="s">
        <v>138</v>
      </c>
      <c r="D1371" s="40" t="s">
        <v>139</v>
      </c>
      <c r="E1371" s="41" t="s">
        <v>140</v>
      </c>
      <c r="F1371" s="53">
        <f>G1371/67.76</f>
        <v>2906.5082644628096</v>
      </c>
      <c r="G1371" s="295">
        <v>196945</v>
      </c>
      <c r="H1371" s="40" t="s">
        <v>63</v>
      </c>
      <c r="I1371" s="224"/>
      <c r="K1371" s="74">
        <v>86249.68</v>
      </c>
    </row>
    <row r="1372" spans="1:9" s="10" customFormat="1" ht="30" customHeight="1">
      <c r="A1372" s="296"/>
      <c r="B1372" s="260" t="s">
        <v>141</v>
      </c>
      <c r="C1372" s="261"/>
      <c r="D1372" s="262"/>
      <c r="E1372" s="263"/>
      <c r="F1372" s="263"/>
      <c r="G1372" s="297">
        <f>SUM(G1371:G1371)</f>
        <v>196945</v>
      </c>
      <c r="H1372" s="265"/>
      <c r="I1372" s="224"/>
    </row>
    <row r="1373" spans="1:11" ht="30" customHeight="1">
      <c r="A1373" s="37">
        <v>936</v>
      </c>
      <c r="B1373" s="38" t="s">
        <v>142</v>
      </c>
      <c r="C1373" s="54" t="s">
        <v>143</v>
      </c>
      <c r="D1373" s="40" t="s">
        <v>144</v>
      </c>
      <c r="E1373" s="41" t="s">
        <v>145</v>
      </c>
      <c r="F1373" s="56">
        <f>G1373/4.143</f>
        <v>3283.8522809558294</v>
      </c>
      <c r="G1373" s="295">
        <v>13605</v>
      </c>
      <c r="H1373" s="40" t="s">
        <v>63</v>
      </c>
      <c r="I1373" s="224"/>
      <c r="K1373" s="12">
        <f>6170.5+1001.88</f>
        <v>7172.38</v>
      </c>
    </row>
    <row r="1374" spans="1:9" s="10" customFormat="1" ht="30" customHeight="1">
      <c r="A1374" s="296"/>
      <c r="B1374" s="260" t="s">
        <v>146</v>
      </c>
      <c r="C1374" s="261"/>
      <c r="D1374" s="262"/>
      <c r="E1374" s="262"/>
      <c r="F1374" s="262"/>
      <c r="G1374" s="297">
        <f>G1373</f>
        <v>13605</v>
      </c>
      <c r="H1374" s="265"/>
      <c r="I1374" s="224"/>
    </row>
    <row r="1375" spans="1:9" ht="60" customHeight="1">
      <c r="A1375" s="37">
        <v>937</v>
      </c>
      <c r="B1375" s="38" t="s">
        <v>147</v>
      </c>
      <c r="C1375" s="54" t="s">
        <v>148</v>
      </c>
      <c r="D1375" s="40" t="s">
        <v>149</v>
      </c>
      <c r="E1375" s="41" t="s">
        <v>25</v>
      </c>
      <c r="F1375" s="56">
        <v>1</v>
      </c>
      <c r="G1375" s="295">
        <v>107900</v>
      </c>
      <c r="H1375" s="40" t="s">
        <v>63</v>
      </c>
      <c r="I1375" s="224"/>
    </row>
    <row r="1376" spans="1:9" s="10" customFormat="1" ht="30" customHeight="1">
      <c r="A1376" s="296"/>
      <c r="B1376" s="260" t="s">
        <v>150</v>
      </c>
      <c r="C1376" s="261"/>
      <c r="D1376" s="262"/>
      <c r="E1376" s="262"/>
      <c r="F1376" s="262"/>
      <c r="G1376" s="297">
        <f>G1375</f>
        <v>107900</v>
      </c>
      <c r="H1376" s="265"/>
      <c r="I1376" s="224"/>
    </row>
    <row r="1377" spans="2:5" ht="22.5" customHeight="1">
      <c r="B1377" s="208" t="s">
        <v>151</v>
      </c>
      <c r="C1377" s="167"/>
      <c r="D1377" s="168"/>
      <c r="E1377" s="207"/>
    </row>
    <row r="1378" spans="1:9" ht="22.5" customHeight="1">
      <c r="A1378" s="19"/>
      <c r="B1378" s="106" t="s">
        <v>152</v>
      </c>
      <c r="C1378" s="107"/>
      <c r="D1378" s="108" t="s">
        <v>153</v>
      </c>
      <c r="E1378" s="109"/>
      <c r="F1378" s="109"/>
      <c r="G1378" s="304"/>
      <c r="H1378" s="171"/>
      <c r="I1378" s="223"/>
    </row>
    <row r="1379" spans="1:9" s="8" customFormat="1" ht="22.5" customHeight="1">
      <c r="A1379" s="19"/>
      <c r="B1379" s="111"/>
      <c r="C1379" s="9"/>
      <c r="D1379" s="112" t="s">
        <v>154</v>
      </c>
      <c r="E1379" s="113" t="s">
        <v>155</v>
      </c>
      <c r="F1379" s="114"/>
      <c r="G1379" s="304"/>
      <c r="H1379" s="171"/>
      <c r="I1379" s="223"/>
    </row>
    <row r="1380" spans="1:9" s="8" customFormat="1" ht="22.5" customHeight="1">
      <c r="A1380" s="19"/>
      <c r="B1380" s="115" t="s">
        <v>156</v>
      </c>
      <c r="C1380" s="116"/>
      <c r="D1380" s="108" t="s">
        <v>157</v>
      </c>
      <c r="E1380" s="109"/>
      <c r="F1380" s="109"/>
      <c r="G1380" s="304"/>
      <c r="H1380" s="171"/>
      <c r="I1380" s="223"/>
    </row>
    <row r="1381" spans="1:9" ht="22.5" customHeight="1">
      <c r="A1381" s="19"/>
      <c r="B1381" s="111"/>
      <c r="C1381" s="9"/>
      <c r="D1381" s="112" t="s">
        <v>154</v>
      </c>
      <c r="E1381" s="113"/>
      <c r="F1381" s="114"/>
      <c r="G1381" s="304"/>
      <c r="H1381" s="8"/>
      <c r="I1381" s="141"/>
    </row>
    <row r="1382" spans="1:9" s="8" customFormat="1" ht="22.5" customHeight="1">
      <c r="A1382" s="19"/>
      <c r="B1382" s="115" t="s">
        <v>158</v>
      </c>
      <c r="C1382" s="9"/>
      <c r="D1382" s="9"/>
      <c r="E1382" s="9"/>
      <c r="F1382" s="9"/>
      <c r="G1382" s="304"/>
      <c r="H1382" s="171"/>
      <c r="I1382" s="223"/>
    </row>
    <row r="1383" spans="1:9" s="2" customFormat="1" ht="30" customHeight="1">
      <c r="A1383" s="16"/>
      <c r="B1383" s="229" t="s">
        <v>159</v>
      </c>
      <c r="C1383" s="167"/>
      <c r="D1383" s="291" t="s">
        <v>160</v>
      </c>
      <c r="E1383" s="229"/>
      <c r="F1383" s="16"/>
      <c r="H1383" s="171"/>
      <c r="I1383" s="294"/>
    </row>
    <row r="1384" spans="2:9" ht="22.5" customHeight="1">
      <c r="B1384" s="230" t="s">
        <v>161</v>
      </c>
      <c r="C1384" s="167"/>
      <c r="D1384" s="168"/>
      <c r="E1384" s="207"/>
      <c r="H1384" s="8"/>
      <c r="I1384" s="30"/>
    </row>
    <row r="1385" spans="2:11" ht="15">
      <c r="B1385" s="2"/>
      <c r="C1385" s="2"/>
      <c r="D1385" s="8"/>
      <c r="E1385" s="338"/>
      <c r="F1385" s="338"/>
      <c r="G1385" s="339"/>
      <c r="H1385" s="338"/>
      <c r="I1385" s="141"/>
      <c r="J1385" s="338"/>
      <c r="K1385" s="8"/>
    </row>
    <row r="1386" spans="4:11" ht="15">
      <c r="D1386" s="3"/>
      <c r="E1386" s="3"/>
      <c r="F1386" s="19"/>
      <c r="G1386" s="19"/>
      <c r="H1386" s="8"/>
      <c r="I1386" s="141"/>
      <c r="J1386" s="8"/>
      <c r="K1386" s="8"/>
    </row>
    <row r="1388" spans="2:3" ht="15">
      <c r="B1388" s="5"/>
      <c r="C1388" s="5"/>
    </row>
    <row r="1389" spans="2:4" ht="15">
      <c r="B1389" s="3"/>
      <c r="C1389" s="3"/>
      <c r="D1389" s="3"/>
    </row>
  </sheetData>
  <sheetProtection/>
  <mergeCells count="374">
    <mergeCell ref="F1:G1"/>
    <mergeCell ref="A2:I2"/>
    <mergeCell ref="A3:I3"/>
    <mergeCell ref="A4:I4"/>
    <mergeCell ref="A10:I10"/>
    <mergeCell ref="B20:C20"/>
    <mergeCell ref="B27:C27"/>
    <mergeCell ref="B29:C29"/>
    <mergeCell ref="B32:C32"/>
    <mergeCell ref="B34:C34"/>
    <mergeCell ref="F43:G43"/>
    <mergeCell ref="A44:I44"/>
    <mergeCell ref="A45:I45"/>
    <mergeCell ref="A46:I46"/>
    <mergeCell ref="B54:C54"/>
    <mergeCell ref="B62:C62"/>
    <mergeCell ref="B64:C64"/>
    <mergeCell ref="B67:C67"/>
    <mergeCell ref="B69:C69"/>
    <mergeCell ref="F78:G78"/>
    <mergeCell ref="A79:I79"/>
    <mergeCell ref="A80:I80"/>
    <mergeCell ref="A81:I81"/>
    <mergeCell ref="B93:C93"/>
    <mergeCell ref="B101:C101"/>
    <mergeCell ref="B103:C103"/>
    <mergeCell ref="B106:C106"/>
    <mergeCell ref="B108:C108"/>
    <mergeCell ref="F117:G117"/>
    <mergeCell ref="A118:I118"/>
    <mergeCell ref="A119:I119"/>
    <mergeCell ref="A120:I120"/>
    <mergeCell ref="B142:C142"/>
    <mergeCell ref="B148:C148"/>
    <mergeCell ref="B150:C150"/>
    <mergeCell ref="B153:C153"/>
    <mergeCell ref="B155:C155"/>
    <mergeCell ref="F164:G164"/>
    <mergeCell ref="A165:I165"/>
    <mergeCell ref="B195:C195"/>
    <mergeCell ref="B202:C202"/>
    <mergeCell ref="B204:C204"/>
    <mergeCell ref="B207:C207"/>
    <mergeCell ref="B209:C209"/>
    <mergeCell ref="F218:G218"/>
    <mergeCell ref="A219:I219"/>
    <mergeCell ref="A220:I220"/>
    <mergeCell ref="B238:C238"/>
    <mergeCell ref="B244:C244"/>
    <mergeCell ref="B246:C246"/>
    <mergeCell ref="B248:C248"/>
    <mergeCell ref="F257:G257"/>
    <mergeCell ref="A258:I258"/>
    <mergeCell ref="A259:I259"/>
    <mergeCell ref="B278:C278"/>
    <mergeCell ref="B312:C312"/>
    <mergeCell ref="B323:C323"/>
    <mergeCell ref="B325:C325"/>
    <mergeCell ref="B328:C328"/>
    <mergeCell ref="B330:C330"/>
    <mergeCell ref="B332:C332"/>
    <mergeCell ref="F341:G341"/>
    <mergeCell ref="A342:I342"/>
    <mergeCell ref="A343:I343"/>
    <mergeCell ref="B381:C381"/>
    <mergeCell ref="B412:C412"/>
    <mergeCell ref="B424:C424"/>
    <mergeCell ref="B426:C426"/>
    <mergeCell ref="B429:C429"/>
    <mergeCell ref="B431:C431"/>
    <mergeCell ref="F440:G440"/>
    <mergeCell ref="A441:I441"/>
    <mergeCell ref="A442:I442"/>
    <mergeCell ref="B464:C464"/>
    <mergeCell ref="B499:C499"/>
    <mergeCell ref="B511:C511"/>
    <mergeCell ref="B513:C513"/>
    <mergeCell ref="B515:C515"/>
    <mergeCell ref="B517:C517"/>
    <mergeCell ref="F526:G526"/>
    <mergeCell ref="B527:J527"/>
    <mergeCell ref="A528:I528"/>
    <mergeCell ref="B569:C569"/>
    <mergeCell ref="B603:C603"/>
    <mergeCell ref="B612:C612"/>
    <mergeCell ref="B614:C614"/>
    <mergeCell ref="B616:C616"/>
    <mergeCell ref="B618:C618"/>
    <mergeCell ref="F627:G627"/>
    <mergeCell ref="A628:I628"/>
    <mergeCell ref="A629:I629"/>
    <mergeCell ref="B649:C649"/>
    <mergeCell ref="B680:C680"/>
    <mergeCell ref="B694:C694"/>
    <mergeCell ref="B696:C696"/>
    <mergeCell ref="B698:C698"/>
    <mergeCell ref="F707:G707"/>
    <mergeCell ref="A708:I708"/>
    <mergeCell ref="A709:I709"/>
    <mergeCell ref="B721:C721"/>
    <mergeCell ref="B743:C743"/>
    <mergeCell ref="B754:C754"/>
    <mergeCell ref="B756:C756"/>
    <mergeCell ref="B758:C758"/>
    <mergeCell ref="B760:C760"/>
    <mergeCell ref="F769:G769"/>
    <mergeCell ref="A770:I770"/>
    <mergeCell ref="A771:I771"/>
    <mergeCell ref="B800:C800"/>
    <mergeCell ref="B819:C819"/>
    <mergeCell ref="B829:C829"/>
    <mergeCell ref="B831:C831"/>
    <mergeCell ref="B833:C833"/>
    <mergeCell ref="B835:C835"/>
    <mergeCell ref="F844:G844"/>
    <mergeCell ref="A845:I845"/>
    <mergeCell ref="A846:I846"/>
    <mergeCell ref="B875:C875"/>
    <mergeCell ref="B907:C907"/>
    <mergeCell ref="B916:C916"/>
    <mergeCell ref="B918:C918"/>
    <mergeCell ref="B920:C920"/>
    <mergeCell ref="F929:G929"/>
    <mergeCell ref="A930:I930"/>
    <mergeCell ref="A931:I931"/>
    <mergeCell ref="B956:C956"/>
    <mergeCell ref="B984:C984"/>
    <mergeCell ref="B994:C994"/>
    <mergeCell ref="B996:C996"/>
    <mergeCell ref="B998:C998"/>
    <mergeCell ref="F1007:G1007"/>
    <mergeCell ref="A1008:I1008"/>
    <mergeCell ref="A1009:I1009"/>
    <mergeCell ref="B1031:C1031"/>
    <mergeCell ref="B1042:C1042"/>
    <mergeCell ref="B1044:C1044"/>
    <mergeCell ref="B1046:C1046"/>
    <mergeCell ref="F1055:G1055"/>
    <mergeCell ref="A1056:I1056"/>
    <mergeCell ref="A1057:I1057"/>
    <mergeCell ref="B1073:C1073"/>
    <mergeCell ref="B1100:C1100"/>
    <mergeCell ref="B1108:C1108"/>
    <mergeCell ref="B1110:C1110"/>
    <mergeCell ref="B1112:C1112"/>
    <mergeCell ref="B1114:C1114"/>
    <mergeCell ref="F1123:G1123"/>
    <mergeCell ref="A1124:I1124"/>
    <mergeCell ref="A1125:I1125"/>
    <mergeCell ref="B1147:C1147"/>
    <mergeCell ref="B1183:C1183"/>
    <mergeCell ref="B1191:C1191"/>
    <mergeCell ref="B1193:C1193"/>
    <mergeCell ref="B1195:C1195"/>
    <mergeCell ref="B1197:C1197"/>
    <mergeCell ref="F1206:G1206"/>
    <mergeCell ref="A1207:I1207"/>
    <mergeCell ref="A1208:I1208"/>
    <mergeCell ref="B1249:C1249"/>
    <mergeCell ref="B1279:C1279"/>
    <mergeCell ref="B1290:C1290"/>
    <mergeCell ref="B1292:C1292"/>
    <mergeCell ref="B1294:C1294"/>
    <mergeCell ref="B1296:C1296"/>
    <mergeCell ref="F1305:G1305"/>
    <mergeCell ref="A1306:I1306"/>
    <mergeCell ref="A1307:I1307"/>
    <mergeCell ref="B1334:C1334"/>
    <mergeCell ref="B1358:C1358"/>
    <mergeCell ref="B1370:C1370"/>
    <mergeCell ref="B1372:C1372"/>
    <mergeCell ref="B1374:C1374"/>
    <mergeCell ref="B1376:C1376"/>
    <mergeCell ref="B1389:C1389"/>
    <mergeCell ref="A6:A8"/>
    <mergeCell ref="A48:A50"/>
    <mergeCell ref="A83:A85"/>
    <mergeCell ref="A122:A124"/>
    <mergeCell ref="A168:A170"/>
    <mergeCell ref="A223:A225"/>
    <mergeCell ref="A262:A264"/>
    <mergeCell ref="A346:A348"/>
    <mergeCell ref="A445:A447"/>
    <mergeCell ref="A531:A533"/>
    <mergeCell ref="A632:A634"/>
    <mergeCell ref="A712:A714"/>
    <mergeCell ref="A774:A776"/>
    <mergeCell ref="A849:A851"/>
    <mergeCell ref="A934:A936"/>
    <mergeCell ref="A1012:A1014"/>
    <mergeCell ref="A1060:A1062"/>
    <mergeCell ref="A1128:A1130"/>
    <mergeCell ref="A1211:A1213"/>
    <mergeCell ref="A1310:A1312"/>
    <mergeCell ref="B6:B8"/>
    <mergeCell ref="B48:B50"/>
    <mergeCell ref="B83:B85"/>
    <mergeCell ref="B122:B124"/>
    <mergeCell ref="B168:B170"/>
    <mergeCell ref="B223:B225"/>
    <mergeCell ref="B262:B264"/>
    <mergeCell ref="B346:B348"/>
    <mergeCell ref="B445:B447"/>
    <mergeCell ref="B531:B533"/>
    <mergeCell ref="B632:B634"/>
    <mergeCell ref="B712:B714"/>
    <mergeCell ref="B774:B776"/>
    <mergeCell ref="B849:B851"/>
    <mergeCell ref="B934:B936"/>
    <mergeCell ref="B1012:B1014"/>
    <mergeCell ref="B1060:B1062"/>
    <mergeCell ref="B1128:B1130"/>
    <mergeCell ref="B1211:B1213"/>
    <mergeCell ref="B1310:B1312"/>
    <mergeCell ref="C6:C8"/>
    <mergeCell ref="C48:C50"/>
    <mergeCell ref="C83:C85"/>
    <mergeCell ref="C122:C124"/>
    <mergeCell ref="C168:C170"/>
    <mergeCell ref="C223:C225"/>
    <mergeCell ref="C262:C264"/>
    <mergeCell ref="C346:C348"/>
    <mergeCell ref="C445:C447"/>
    <mergeCell ref="C531:C533"/>
    <mergeCell ref="C632:C634"/>
    <mergeCell ref="C712:C714"/>
    <mergeCell ref="C774:C776"/>
    <mergeCell ref="C849:C851"/>
    <mergeCell ref="C934:C936"/>
    <mergeCell ref="C1012:C1014"/>
    <mergeCell ref="C1060:C1062"/>
    <mergeCell ref="C1128:C1130"/>
    <mergeCell ref="C1211:C1213"/>
    <mergeCell ref="C1310:C1312"/>
    <mergeCell ref="D6:D8"/>
    <mergeCell ref="D48:D50"/>
    <mergeCell ref="D83:D85"/>
    <mergeCell ref="D122:D124"/>
    <mergeCell ref="D168:D170"/>
    <mergeCell ref="D223:D225"/>
    <mergeCell ref="D262:D264"/>
    <mergeCell ref="D346:D348"/>
    <mergeCell ref="D445:D447"/>
    <mergeCell ref="D531:D533"/>
    <mergeCell ref="D632:D634"/>
    <mergeCell ref="D712:D714"/>
    <mergeCell ref="D774:D776"/>
    <mergeCell ref="D849:D851"/>
    <mergeCell ref="D934:D936"/>
    <mergeCell ref="D1012:D1014"/>
    <mergeCell ref="D1060:D1062"/>
    <mergeCell ref="D1128:D1130"/>
    <mergeCell ref="D1211:D1213"/>
    <mergeCell ref="D1310:D1312"/>
    <mergeCell ref="E6:E8"/>
    <mergeCell ref="E48:E50"/>
    <mergeCell ref="E83:E85"/>
    <mergeCell ref="E122:E124"/>
    <mergeCell ref="E168:E170"/>
    <mergeCell ref="E223:E225"/>
    <mergeCell ref="E262:E264"/>
    <mergeCell ref="E346:E348"/>
    <mergeCell ref="E445:E447"/>
    <mergeCell ref="E531:E533"/>
    <mergeCell ref="E632:E634"/>
    <mergeCell ref="E712:E714"/>
    <mergeCell ref="E774:E776"/>
    <mergeCell ref="E849:E851"/>
    <mergeCell ref="E934:E936"/>
    <mergeCell ref="E1012:E1014"/>
    <mergeCell ref="E1060:E1062"/>
    <mergeCell ref="E1128:E1130"/>
    <mergeCell ref="E1211:E1213"/>
    <mergeCell ref="E1310:E1312"/>
    <mergeCell ref="F6:F8"/>
    <mergeCell ref="F48:F50"/>
    <mergeCell ref="F83:F85"/>
    <mergeCell ref="F122:F124"/>
    <mergeCell ref="F168:F170"/>
    <mergeCell ref="F223:F225"/>
    <mergeCell ref="F262:F264"/>
    <mergeCell ref="F346:F348"/>
    <mergeCell ref="F445:F447"/>
    <mergeCell ref="F531:F533"/>
    <mergeCell ref="F632:F634"/>
    <mergeCell ref="F712:F714"/>
    <mergeCell ref="F774:F776"/>
    <mergeCell ref="F849:F851"/>
    <mergeCell ref="F934:F936"/>
    <mergeCell ref="F1012:F1014"/>
    <mergeCell ref="F1060:F1062"/>
    <mergeCell ref="F1128:F1130"/>
    <mergeCell ref="F1211:F1213"/>
    <mergeCell ref="F1310:F1312"/>
    <mergeCell ref="G6:G8"/>
    <mergeCell ref="G48:G50"/>
    <mergeCell ref="G83:G85"/>
    <mergeCell ref="G122:G124"/>
    <mergeCell ref="G168:G170"/>
    <mergeCell ref="G223:G225"/>
    <mergeCell ref="G262:G264"/>
    <mergeCell ref="G346:G348"/>
    <mergeCell ref="G445:G447"/>
    <mergeCell ref="G531:G533"/>
    <mergeCell ref="G632:G634"/>
    <mergeCell ref="G712:G714"/>
    <mergeCell ref="G774:G776"/>
    <mergeCell ref="G849:G851"/>
    <mergeCell ref="G934:G936"/>
    <mergeCell ref="G1012:G1014"/>
    <mergeCell ref="G1060:G1062"/>
    <mergeCell ref="G1128:G1130"/>
    <mergeCell ref="G1211:G1213"/>
    <mergeCell ref="G1310:G1312"/>
    <mergeCell ref="H6:H8"/>
    <mergeCell ref="H48:H50"/>
    <mergeCell ref="H83:H85"/>
    <mergeCell ref="H122:H124"/>
    <mergeCell ref="H168:H170"/>
    <mergeCell ref="H223:H225"/>
    <mergeCell ref="H262:H264"/>
    <mergeCell ref="H346:H348"/>
    <mergeCell ref="H445:H447"/>
    <mergeCell ref="H531:H533"/>
    <mergeCell ref="H632:H634"/>
    <mergeCell ref="H712:H714"/>
    <mergeCell ref="H774:H776"/>
    <mergeCell ref="H849:H851"/>
    <mergeCell ref="H934:H936"/>
    <mergeCell ref="H1012:H1014"/>
    <mergeCell ref="H1060:H1062"/>
    <mergeCell ref="H1128:H1130"/>
    <mergeCell ref="H1211:H1213"/>
    <mergeCell ref="H1310:H1312"/>
    <mergeCell ref="I6:I8"/>
    <mergeCell ref="I11:I34"/>
    <mergeCell ref="I48:I50"/>
    <mergeCell ref="I52:I69"/>
    <mergeCell ref="I83:I85"/>
    <mergeCell ref="I87:I108"/>
    <mergeCell ref="I122:I124"/>
    <mergeCell ref="I126:I155"/>
    <mergeCell ref="I168:I170"/>
    <mergeCell ref="I172:I209"/>
    <mergeCell ref="I223:I225"/>
    <mergeCell ref="I227:I248"/>
    <mergeCell ref="I262:I264"/>
    <mergeCell ref="I266:I332"/>
    <mergeCell ref="I346:I348"/>
    <mergeCell ref="I350:I431"/>
    <mergeCell ref="I445:I447"/>
    <mergeCell ref="I449:I516"/>
    <mergeCell ref="I531:I533"/>
    <mergeCell ref="I535:I618"/>
    <mergeCell ref="I632:I634"/>
    <mergeCell ref="I636:I698"/>
    <mergeCell ref="I712:I714"/>
    <mergeCell ref="I716:I760"/>
    <mergeCell ref="I774:I776"/>
    <mergeCell ref="I778:I835"/>
    <mergeCell ref="I849:I851"/>
    <mergeCell ref="I853:I920"/>
    <mergeCell ref="I934:I936"/>
    <mergeCell ref="I938:I998"/>
    <mergeCell ref="I1012:I1014"/>
    <mergeCell ref="I1016:I1046"/>
    <mergeCell ref="I1060:I1062"/>
    <mergeCell ref="I1064:I1114"/>
    <mergeCell ref="I1128:I1130"/>
    <mergeCell ref="I1132:I1197"/>
    <mergeCell ref="I1211:I1213"/>
    <mergeCell ref="I1215:I1296"/>
    <mergeCell ref="I1310:I1312"/>
    <mergeCell ref="I1314:I1376"/>
  </mergeCells>
  <hyperlinks>
    <hyperlink ref="C131" r:id="rId1" display="20.60.1; ДК 016:2010"/>
    <hyperlink ref="C130" r:id="rId2" display="25.99.2; ДК 016:2010"/>
    <hyperlink ref="C174" r:id="rId3" display="20.41.3; ДК 016:2010"/>
    <hyperlink ref="C194" r:id="rId4" display="27.40.1; ДК 016:2010"/>
    <hyperlink ref="C231" r:id="rId5" display="20.41.3; ДК 016:2010"/>
    <hyperlink ref="C230" r:id="rId6" display="20.41.3; ДК 016:2010"/>
    <hyperlink ref="C232" r:id="rId7" display="20.30.2; ДК 016:2010"/>
    <hyperlink ref="C233" r:id="rId8" display="20.52.1; ДК 016:2010"/>
    <hyperlink ref="C234" r:id="rId9" display="22.29.2; ДК 016:2010"/>
    <hyperlink ref="C235" r:id="rId10" display="22.29.2; ДК 016:2010"/>
    <hyperlink ref="C236" r:id="rId11" display="27.40.1; ДК 016:2010"/>
    <hyperlink ref="C276" r:id="rId12" display="73.11.1; ДК 016:2010"/>
    <hyperlink ref="C376" r:id="rId13" display="73.11.1; ДК 016:2010"/>
    <hyperlink ref="C451" r:id="rId14" display="20.41.3; ДК 016:2010"/>
    <hyperlink ref="C462" r:id="rId15" display="73.11.1; ДК 016:2010"/>
    <hyperlink ref="C563" r:id="rId16" display="73.11.1; ДК 016:2010"/>
    <hyperlink ref="C641" r:id="rId17" display="20.41.3; ДК 016:2010"/>
    <hyperlink ref="C642" r:id="rId18" display="20.30.1; ДК 016:2010"/>
    <hyperlink ref="C643" r:id="rId19" display="17.24.1; ДК 016:2010"/>
    <hyperlink ref="C644" r:id="rId20" display="25.99.1; ДК 016:2010"/>
    <hyperlink ref="C646" r:id="rId21" display="25.99.1; ДК 016:2010"/>
    <hyperlink ref="C648" r:id="rId22" display="32.30.1; ДК 016:2010"/>
    <hyperlink ref="C645" r:id="rId23" display="22.29.2; ДК 016:2010"/>
    <hyperlink ref="C647" r:id="rId24" display="73.11.1; ДК 016:2010"/>
    <hyperlink ref="C720" r:id="rId25" display="73.11.1; ДК 016:2010"/>
    <hyperlink ref="C782" r:id="rId26" display="20.41.3; ДК 016:2010"/>
    <hyperlink ref="C799" r:id="rId27" display="73.11.1; ДК 016:2010"/>
    <hyperlink ref="C785" r:id="rId28" display="25.71.1; ДК 016:2010"/>
    <hyperlink ref="C798" r:id="rId29" display="31.00.1; ДК 016:2010"/>
    <hyperlink ref="C874" r:id="rId30" display="73.11.1; ДК 016:2010"/>
    <hyperlink ref="C954" r:id="rId31" display="73.11.1; ДК 016:2010"/>
    <hyperlink ref="C1030" r:id="rId32" display="73.11.1; ДК 016:2010"/>
    <hyperlink ref="C1072" r:id="rId33" display="73.11.1; ДК 016:2010"/>
    <hyperlink ref="C1135" r:id="rId34" display="20.41.3; ДК 016:2010"/>
    <hyperlink ref="C1142" r:id="rId35" display="73.11.1; ДК 016:2010"/>
    <hyperlink ref="C1247" r:id="rId36" display="73.11.1; ДК 016:2010"/>
    <hyperlink ref="C1333" r:id="rId37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445"/>
  <sheetViews>
    <sheetView tabSelected="1" view="pageBreakPreview" zoomScale="90" zoomScaleNormal="90" zoomScaleSheetLayoutView="90" workbookViewId="0" topLeftCell="A163">
      <selection activeCell="F1437" sqref="F1437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3" customWidth="1"/>
    <col min="8" max="8" width="15.421875" style="12" customWidth="1"/>
    <col min="9" max="9" width="8.8515625" style="12" customWidth="1"/>
    <col min="10" max="10" width="9.28125" style="12" bestFit="1" customWidth="1"/>
    <col min="11" max="11" width="11.8515625" style="12" customWidth="1"/>
    <col min="12" max="12" width="12.00390625" style="12" bestFit="1" customWidth="1"/>
    <col min="13" max="13" width="10.140625" style="12" bestFit="1" customWidth="1"/>
    <col min="14" max="14" width="10.421875" style="12" bestFit="1" customWidth="1"/>
    <col min="15" max="15" width="9.28125" style="12" bestFit="1" customWidth="1"/>
    <col min="16" max="16384" width="9.140625" style="12" customWidth="1"/>
  </cols>
  <sheetData>
    <row r="1" spans="4:6" ht="15">
      <c r="D1" s="14"/>
      <c r="F1" s="12" t="s">
        <v>627</v>
      </c>
    </row>
    <row r="2" spans="4:6" ht="15">
      <c r="D2" s="14"/>
      <c r="F2" s="12" t="s">
        <v>628</v>
      </c>
    </row>
    <row r="3" spans="4:6" ht="15">
      <c r="D3" s="14"/>
      <c r="F3" s="12" t="s">
        <v>629</v>
      </c>
    </row>
    <row r="4" spans="4:7" ht="15">
      <c r="D4" s="14"/>
      <c r="F4" s="8" t="s">
        <v>630</v>
      </c>
      <c r="G4" s="15"/>
    </row>
    <row r="5" spans="4:7" ht="15">
      <c r="D5" s="14"/>
      <c r="F5" s="8" t="s">
        <v>631</v>
      </c>
      <c r="G5" s="15"/>
    </row>
    <row r="7" spans="2:6" ht="15">
      <c r="B7" s="12" t="s">
        <v>0</v>
      </c>
      <c r="E7" s="3"/>
      <c r="F7" s="3"/>
    </row>
    <row r="8" spans="1:9" ht="15">
      <c r="A8" s="16" t="s">
        <v>632</v>
      </c>
      <c r="B8" s="3"/>
      <c r="C8" s="3"/>
      <c r="D8" s="3"/>
      <c r="E8" s="3"/>
      <c r="F8" s="3"/>
      <c r="G8" s="3"/>
      <c r="H8" s="3"/>
      <c r="I8" s="3"/>
    </row>
    <row r="9" spans="1:9" ht="15">
      <c r="A9" s="16" t="s">
        <v>633</v>
      </c>
      <c r="B9" s="3"/>
      <c r="C9" s="3"/>
      <c r="D9" s="3"/>
      <c r="E9" s="3"/>
      <c r="F9" s="3"/>
      <c r="G9" s="3"/>
      <c r="H9" s="3"/>
      <c r="I9" s="3"/>
    </row>
    <row r="10" spans="1:9" ht="15">
      <c r="A10" s="17" t="s">
        <v>634</v>
      </c>
      <c r="B10" s="18"/>
      <c r="C10" s="18"/>
      <c r="D10" s="18"/>
      <c r="E10" s="18"/>
      <c r="F10" s="18"/>
      <c r="G10" s="18"/>
      <c r="H10" s="18"/>
      <c r="I10" s="18"/>
    </row>
    <row r="11" spans="1:9" ht="65.25" customHeight="1" hidden="1">
      <c r="A11" s="19"/>
      <c r="B11" s="8" t="s">
        <v>0</v>
      </c>
      <c r="C11" s="20"/>
      <c r="D11" s="21"/>
      <c r="E11" s="22"/>
      <c r="F11" s="23" t="s">
        <v>1</v>
      </c>
      <c r="G11" s="23"/>
      <c r="H11" s="21"/>
      <c r="I11" s="70"/>
    </row>
    <row r="12" spans="1:9" ht="45" customHeight="1" hidden="1">
      <c r="A12" s="24" t="s">
        <v>583</v>
      </c>
      <c r="B12" s="24"/>
      <c r="C12" s="24"/>
      <c r="D12" s="24"/>
      <c r="E12" s="24"/>
      <c r="F12" s="24"/>
      <c r="G12" s="24"/>
      <c r="H12" s="24"/>
      <c r="I12" s="24"/>
    </row>
    <row r="13" spans="1:9" s="1" customFormat="1" ht="20.25">
      <c r="A13" s="25" t="s">
        <v>584</v>
      </c>
      <c r="B13" s="3"/>
      <c r="C13" s="3"/>
      <c r="D13" s="3"/>
      <c r="E13" s="3"/>
      <c r="F13" s="3"/>
      <c r="G13" s="3"/>
      <c r="H13" s="3"/>
      <c r="I13" s="3"/>
    </row>
    <row r="14" spans="1:9" ht="12" customHeight="1">
      <c r="A14" s="17" t="s">
        <v>4</v>
      </c>
      <c r="B14" s="5"/>
      <c r="C14" s="5"/>
      <c r="D14" s="5"/>
      <c r="E14" s="5"/>
      <c r="F14" s="5"/>
      <c r="G14" s="5"/>
      <c r="H14" s="5"/>
      <c r="I14" s="5"/>
    </row>
    <row r="15" ht="15.75" customHeight="1"/>
    <row r="16" spans="1:11" ht="15.75" customHeight="1">
      <c r="A16" s="26" t="s">
        <v>5</v>
      </c>
      <c r="B16" s="27" t="s">
        <v>6</v>
      </c>
      <c r="C16" s="28" t="s">
        <v>7</v>
      </c>
      <c r="D16" s="28" t="s">
        <v>249</v>
      </c>
      <c r="E16" s="28" t="s">
        <v>9</v>
      </c>
      <c r="F16" s="28" t="s">
        <v>10</v>
      </c>
      <c r="G16" s="28" t="s">
        <v>250</v>
      </c>
      <c r="H16" s="28" t="s">
        <v>251</v>
      </c>
      <c r="I16" s="28" t="s">
        <v>13</v>
      </c>
      <c r="J16" s="71"/>
      <c r="K16" s="71"/>
    </row>
    <row r="17" spans="1:9" ht="31.5" customHeight="1">
      <c r="A17" s="29"/>
      <c r="B17" s="30"/>
      <c r="C17" s="31"/>
      <c r="D17" s="31"/>
      <c r="E17" s="31"/>
      <c r="F17" s="31"/>
      <c r="G17" s="31"/>
      <c r="H17" s="31"/>
      <c r="I17" s="31"/>
    </row>
    <row r="18" spans="1:9" ht="37.5" customHeight="1">
      <c r="A18" s="32"/>
      <c r="B18" s="33"/>
      <c r="C18" s="34"/>
      <c r="D18" s="34"/>
      <c r="E18" s="34"/>
      <c r="F18" s="34"/>
      <c r="G18" s="34"/>
      <c r="H18" s="34"/>
      <c r="I18" s="34"/>
    </row>
    <row r="19" spans="1:15" ht="20.25" customHeight="1">
      <c r="A19" s="32">
        <v>1</v>
      </c>
      <c r="B19" s="33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72">
        <v>9</v>
      </c>
      <c r="O19" s="12" t="s">
        <v>298</v>
      </c>
    </row>
    <row r="20" spans="1:9" ht="30" customHeight="1">
      <c r="A20" s="35" t="s">
        <v>584</v>
      </c>
      <c r="B20" s="36"/>
      <c r="C20" s="36"/>
      <c r="D20" s="36"/>
      <c r="E20" s="36"/>
      <c r="F20" s="36"/>
      <c r="G20" s="36"/>
      <c r="H20" s="36"/>
      <c r="I20" s="36"/>
    </row>
    <row r="21" spans="1:12" ht="30" customHeight="1">
      <c r="A21" s="37">
        <v>1</v>
      </c>
      <c r="B21" s="38" t="s">
        <v>649</v>
      </c>
      <c r="C21" s="39" t="s">
        <v>24</v>
      </c>
      <c r="D21" s="40" t="s">
        <v>650</v>
      </c>
      <c r="E21" s="41" t="s">
        <v>25</v>
      </c>
      <c r="F21" s="41">
        <v>4</v>
      </c>
      <c r="G21" s="42">
        <v>653.8</v>
      </c>
      <c r="H21" s="40" t="s">
        <v>63</v>
      </c>
      <c r="I21" s="73" t="s">
        <v>253</v>
      </c>
      <c r="K21" s="12">
        <v>1850</v>
      </c>
      <c r="L21" s="74">
        <f aca="true" t="shared" si="0" ref="L21:L29">G21-K21</f>
        <v>-1196.2</v>
      </c>
    </row>
    <row r="22" spans="1:12" ht="30" customHeight="1">
      <c r="A22" s="37">
        <v>2</v>
      </c>
      <c r="B22" s="38" t="s">
        <v>589</v>
      </c>
      <c r="C22" s="43" t="s">
        <v>24</v>
      </c>
      <c r="D22" s="40" t="s">
        <v>650</v>
      </c>
      <c r="E22" s="41" t="s">
        <v>25</v>
      </c>
      <c r="F22" s="41">
        <v>3</v>
      </c>
      <c r="G22" s="42">
        <v>496.2</v>
      </c>
      <c r="H22" s="40" t="s">
        <v>63</v>
      </c>
      <c r="I22" s="31"/>
      <c r="K22" s="12">
        <v>1850</v>
      </c>
      <c r="L22" s="74">
        <f t="shared" si="0"/>
        <v>-1353.8</v>
      </c>
    </row>
    <row r="23" spans="1:12" ht="30" customHeight="1">
      <c r="A23" s="37">
        <v>3</v>
      </c>
      <c r="B23" s="38" t="s">
        <v>15</v>
      </c>
      <c r="C23" s="43" t="s">
        <v>16</v>
      </c>
      <c r="D23" s="40" t="s">
        <v>650</v>
      </c>
      <c r="E23" s="41" t="s">
        <v>18</v>
      </c>
      <c r="F23" s="41">
        <v>5</v>
      </c>
      <c r="G23" s="42">
        <v>1050</v>
      </c>
      <c r="H23" s="40" t="s">
        <v>63</v>
      </c>
      <c r="I23" s="31"/>
      <c r="K23" s="12">
        <v>1850</v>
      </c>
      <c r="L23" s="74">
        <f t="shared" si="0"/>
        <v>-800</v>
      </c>
    </row>
    <row r="24" spans="1:12" ht="30" customHeight="1">
      <c r="A24" s="37">
        <v>4</v>
      </c>
      <c r="B24" s="38" t="s">
        <v>649</v>
      </c>
      <c r="C24" s="43" t="s">
        <v>24</v>
      </c>
      <c r="D24" s="40" t="s">
        <v>650</v>
      </c>
      <c r="E24" s="41" t="s">
        <v>25</v>
      </c>
      <c r="F24" s="41">
        <v>2</v>
      </c>
      <c r="G24" s="42">
        <v>328</v>
      </c>
      <c r="H24" s="40" t="s">
        <v>19</v>
      </c>
      <c r="I24" s="31"/>
      <c r="K24" s="12">
        <v>1850</v>
      </c>
      <c r="L24" s="74">
        <f t="shared" si="0"/>
        <v>-1522</v>
      </c>
    </row>
    <row r="25" spans="1:12" ht="30" customHeight="1">
      <c r="A25" s="37">
        <v>5</v>
      </c>
      <c r="B25" s="38" t="s">
        <v>589</v>
      </c>
      <c r="C25" s="43" t="s">
        <v>24</v>
      </c>
      <c r="D25" s="40" t="s">
        <v>650</v>
      </c>
      <c r="E25" s="41" t="s">
        <v>25</v>
      </c>
      <c r="F25" s="41">
        <v>2</v>
      </c>
      <c r="G25" s="42">
        <v>332</v>
      </c>
      <c r="H25" s="40" t="s">
        <v>19</v>
      </c>
      <c r="I25" s="31"/>
      <c r="K25" s="12">
        <v>1850</v>
      </c>
      <c r="L25" s="74">
        <f t="shared" si="0"/>
        <v>-1518</v>
      </c>
    </row>
    <row r="26" spans="1:12" ht="30" customHeight="1">
      <c r="A26" s="37">
        <v>6</v>
      </c>
      <c r="B26" s="38" t="s">
        <v>15</v>
      </c>
      <c r="C26" s="43" t="s">
        <v>16</v>
      </c>
      <c r="D26" s="40" t="s">
        <v>650</v>
      </c>
      <c r="E26" s="41" t="s">
        <v>18</v>
      </c>
      <c r="F26" s="41">
        <v>4</v>
      </c>
      <c r="G26" s="42">
        <v>840</v>
      </c>
      <c r="H26" s="40" t="s">
        <v>19</v>
      </c>
      <c r="I26" s="31"/>
      <c r="K26" s="12">
        <v>1850</v>
      </c>
      <c r="L26" s="74">
        <f t="shared" si="0"/>
        <v>-1010</v>
      </c>
    </row>
    <row r="27" spans="1:12" ht="30" customHeight="1">
      <c r="A27" s="37">
        <v>7</v>
      </c>
      <c r="B27" s="38" t="s">
        <v>589</v>
      </c>
      <c r="C27" s="43" t="s">
        <v>24</v>
      </c>
      <c r="D27" s="40" t="s">
        <v>650</v>
      </c>
      <c r="E27" s="41" t="s">
        <v>25</v>
      </c>
      <c r="F27" s="41">
        <v>1</v>
      </c>
      <c r="G27" s="42">
        <v>165</v>
      </c>
      <c r="H27" s="40" t="s">
        <v>132</v>
      </c>
      <c r="I27" s="31"/>
      <c r="K27" s="12">
        <v>1850</v>
      </c>
      <c r="L27" s="74">
        <f t="shared" si="0"/>
        <v>-1685</v>
      </c>
    </row>
    <row r="28" spans="1:12" ht="30" customHeight="1">
      <c r="A28" s="37">
        <v>8</v>
      </c>
      <c r="B28" s="38" t="s">
        <v>15</v>
      </c>
      <c r="C28" s="43" t="s">
        <v>16</v>
      </c>
      <c r="D28" s="40" t="s">
        <v>650</v>
      </c>
      <c r="E28" s="41" t="s">
        <v>18</v>
      </c>
      <c r="F28" s="41">
        <v>6</v>
      </c>
      <c r="G28" s="42">
        <v>1260</v>
      </c>
      <c r="H28" s="40" t="s">
        <v>132</v>
      </c>
      <c r="I28" s="31"/>
      <c r="K28" s="12">
        <v>1850</v>
      </c>
      <c r="L28" s="74">
        <f t="shared" si="0"/>
        <v>-590</v>
      </c>
    </row>
    <row r="29" spans="1:12" ht="30" customHeight="1">
      <c r="A29" s="37">
        <v>9</v>
      </c>
      <c r="B29" s="38" t="s">
        <v>651</v>
      </c>
      <c r="C29" s="43" t="s">
        <v>16</v>
      </c>
      <c r="D29" s="40" t="s">
        <v>650</v>
      </c>
      <c r="E29" s="41" t="s">
        <v>25</v>
      </c>
      <c r="F29" s="41">
        <v>1</v>
      </c>
      <c r="G29" s="42">
        <v>15</v>
      </c>
      <c r="H29" s="40" t="s">
        <v>132</v>
      </c>
      <c r="I29" s="31"/>
      <c r="K29" s="12">
        <v>1850</v>
      </c>
      <c r="L29" s="74">
        <f t="shared" si="0"/>
        <v>-1835</v>
      </c>
    </row>
    <row r="30" spans="1:14" s="2" customFormat="1" ht="30" customHeight="1" hidden="1">
      <c r="A30" s="44"/>
      <c r="B30" s="45" t="s">
        <v>652</v>
      </c>
      <c r="C30" s="46"/>
      <c r="D30" s="47"/>
      <c r="E30" s="48"/>
      <c r="F30" s="48"/>
      <c r="G30" s="42">
        <f>SUM(G21:G29)</f>
        <v>5140</v>
      </c>
      <c r="H30" s="49"/>
      <c r="I30" s="31"/>
      <c r="K30" s="75">
        <f>SUM(K29:K29)</f>
        <v>1850</v>
      </c>
      <c r="L30" s="75">
        <f>SUM(L29:L29)</f>
        <v>-1835</v>
      </c>
      <c r="N30" s="75">
        <f>K30-M30</f>
        <v>1850</v>
      </c>
    </row>
    <row r="31" spans="1:12" ht="30" customHeight="1">
      <c r="A31" s="37">
        <v>10</v>
      </c>
      <c r="B31" s="38" t="s">
        <v>235</v>
      </c>
      <c r="C31" s="40" t="s">
        <v>116</v>
      </c>
      <c r="D31" s="40" t="s">
        <v>653</v>
      </c>
      <c r="E31" s="41" t="s">
        <v>113</v>
      </c>
      <c r="F31" s="50" t="s">
        <v>117</v>
      </c>
      <c r="G31" s="42">
        <v>984</v>
      </c>
      <c r="H31" s="40" t="s">
        <v>63</v>
      </c>
      <c r="I31" s="31"/>
      <c r="K31" s="12">
        <f>154+154</f>
        <v>308</v>
      </c>
      <c r="L31" s="74">
        <f aca="true" t="shared" si="1" ref="L31:L36">G31-K31</f>
        <v>676</v>
      </c>
    </row>
    <row r="32" spans="1:12" ht="30.75" customHeight="1">
      <c r="A32" s="37">
        <v>11</v>
      </c>
      <c r="B32" s="38" t="s">
        <v>433</v>
      </c>
      <c r="C32" s="40" t="s">
        <v>234</v>
      </c>
      <c r="D32" s="40" t="s">
        <v>653</v>
      </c>
      <c r="E32" s="41" t="s">
        <v>113</v>
      </c>
      <c r="F32" s="50" t="s">
        <v>117</v>
      </c>
      <c r="G32" s="42">
        <v>780</v>
      </c>
      <c r="H32" s="40" t="s">
        <v>63</v>
      </c>
      <c r="I32" s="31"/>
      <c r="K32" s="12">
        <f>260</f>
        <v>260</v>
      </c>
      <c r="L32" s="74">
        <f t="shared" si="1"/>
        <v>520</v>
      </c>
    </row>
    <row r="33" spans="1:12" ht="45" customHeight="1">
      <c r="A33" s="37">
        <v>12</v>
      </c>
      <c r="B33" s="38" t="s">
        <v>236</v>
      </c>
      <c r="C33" s="40" t="s">
        <v>119</v>
      </c>
      <c r="D33" s="40" t="s">
        <v>653</v>
      </c>
      <c r="E33" s="41" t="s">
        <v>120</v>
      </c>
      <c r="F33" s="50" t="s">
        <v>605</v>
      </c>
      <c r="G33" s="42">
        <v>504</v>
      </c>
      <c r="H33" s="40" t="s">
        <v>63</v>
      </c>
      <c r="I33" s="31"/>
      <c r="L33" s="74">
        <f t="shared" si="1"/>
        <v>504</v>
      </c>
    </row>
    <row r="34" spans="1:12" ht="30" customHeight="1">
      <c r="A34" s="37">
        <v>13</v>
      </c>
      <c r="B34" s="38" t="s">
        <v>130</v>
      </c>
      <c r="C34" s="40" t="s">
        <v>131</v>
      </c>
      <c r="D34" s="40" t="s">
        <v>653</v>
      </c>
      <c r="E34" s="41" t="s">
        <v>25</v>
      </c>
      <c r="F34" s="41">
        <v>2</v>
      </c>
      <c r="G34" s="42">
        <v>484</v>
      </c>
      <c r="H34" s="40" t="s">
        <v>63</v>
      </c>
      <c r="I34" s="31"/>
      <c r="K34" s="12">
        <v>560</v>
      </c>
      <c r="L34" s="74">
        <f t="shared" si="1"/>
        <v>-76</v>
      </c>
    </row>
    <row r="35" spans="1:12" ht="30" customHeight="1">
      <c r="A35" s="37">
        <v>14</v>
      </c>
      <c r="B35" s="38" t="s">
        <v>130</v>
      </c>
      <c r="C35" s="40" t="s">
        <v>131</v>
      </c>
      <c r="D35" s="40" t="s">
        <v>653</v>
      </c>
      <c r="E35" s="41" t="s">
        <v>25</v>
      </c>
      <c r="F35" s="41">
        <v>1</v>
      </c>
      <c r="G35" s="42">
        <v>244</v>
      </c>
      <c r="H35" s="40" t="s">
        <v>19</v>
      </c>
      <c r="I35" s="31"/>
      <c r="L35" s="74">
        <f t="shared" si="1"/>
        <v>244</v>
      </c>
    </row>
    <row r="36" spans="1:12" ht="30" customHeight="1">
      <c r="A36" s="37">
        <v>15</v>
      </c>
      <c r="B36" s="38" t="s">
        <v>130</v>
      </c>
      <c r="C36" s="40" t="s">
        <v>131</v>
      </c>
      <c r="D36" s="40" t="s">
        <v>653</v>
      </c>
      <c r="E36" s="41" t="s">
        <v>25</v>
      </c>
      <c r="F36" s="41">
        <v>1</v>
      </c>
      <c r="G36" s="42">
        <v>202</v>
      </c>
      <c r="H36" s="40" t="s">
        <v>132</v>
      </c>
      <c r="I36" s="31"/>
      <c r="L36" s="74">
        <f t="shared" si="1"/>
        <v>202</v>
      </c>
    </row>
    <row r="37" spans="1:12" ht="30" customHeight="1" hidden="1">
      <c r="A37" s="37"/>
      <c r="B37" s="45" t="s">
        <v>654</v>
      </c>
      <c r="C37" s="46"/>
      <c r="D37" s="40"/>
      <c r="E37" s="41"/>
      <c r="F37" s="41"/>
      <c r="G37" s="42">
        <f>SUM(G31:G36)</f>
        <v>3198</v>
      </c>
      <c r="H37" s="51"/>
      <c r="I37" s="31"/>
      <c r="L37" s="74">
        <f>SUM(L31:L36)</f>
        <v>2070</v>
      </c>
    </row>
    <row r="38" spans="1:12" ht="30" customHeight="1">
      <c r="A38" s="37">
        <v>16</v>
      </c>
      <c r="B38" s="38" t="s">
        <v>137</v>
      </c>
      <c r="C38" s="52" t="s">
        <v>138</v>
      </c>
      <c r="D38" s="40" t="s">
        <v>655</v>
      </c>
      <c r="E38" s="41" t="s">
        <v>140</v>
      </c>
      <c r="F38" s="53">
        <f>G38/67.76</f>
        <v>67.59149940968122</v>
      </c>
      <c r="G38" s="42">
        <v>4580</v>
      </c>
      <c r="H38" s="40" t="s">
        <v>63</v>
      </c>
      <c r="I38" s="31"/>
      <c r="K38" s="12">
        <f>1944.71</f>
        <v>1944.71</v>
      </c>
      <c r="L38" s="74"/>
    </row>
    <row r="39" spans="1:12" ht="30" customHeight="1" hidden="1">
      <c r="A39" s="37"/>
      <c r="B39" s="45" t="s">
        <v>656</v>
      </c>
      <c r="C39" s="46"/>
      <c r="D39" s="40"/>
      <c r="E39" s="41"/>
      <c r="F39" s="41"/>
      <c r="G39" s="42">
        <f>G38</f>
        <v>4580</v>
      </c>
      <c r="H39" s="51"/>
      <c r="I39" s="31"/>
      <c r="L39" s="74"/>
    </row>
    <row r="40" spans="1:9" ht="30" customHeight="1">
      <c r="A40" s="37">
        <v>17</v>
      </c>
      <c r="B40" s="38" t="s">
        <v>244</v>
      </c>
      <c r="C40" s="54" t="s">
        <v>245</v>
      </c>
      <c r="D40" s="40" t="s">
        <v>657</v>
      </c>
      <c r="E40" s="41" t="s">
        <v>110</v>
      </c>
      <c r="F40" s="53">
        <v>2.28</v>
      </c>
      <c r="G40" s="42">
        <v>28.93</v>
      </c>
      <c r="H40" s="40" t="s">
        <v>63</v>
      </c>
      <c r="I40" s="31"/>
    </row>
    <row r="41" spans="1:9" ht="30" customHeight="1">
      <c r="A41" s="37">
        <v>18</v>
      </c>
      <c r="B41" s="38" t="s">
        <v>645</v>
      </c>
      <c r="C41" s="55" t="s">
        <v>518</v>
      </c>
      <c r="D41" s="40" t="s">
        <v>657</v>
      </c>
      <c r="E41" s="41" t="s">
        <v>110</v>
      </c>
      <c r="F41" s="53">
        <v>2.28</v>
      </c>
      <c r="G41" s="42">
        <v>31.07</v>
      </c>
      <c r="H41" s="40" t="s">
        <v>63</v>
      </c>
      <c r="I41" s="31"/>
    </row>
    <row r="42" spans="1:9" ht="30" customHeight="1" hidden="1">
      <c r="A42" s="37"/>
      <c r="B42" s="45" t="s">
        <v>658</v>
      </c>
      <c r="C42" s="46"/>
      <c r="D42" s="40"/>
      <c r="E42" s="41"/>
      <c r="F42" s="41"/>
      <c r="G42" s="42">
        <f>SUM(G40:G41)</f>
        <v>60</v>
      </c>
      <c r="H42" s="51"/>
      <c r="I42" s="31"/>
    </row>
    <row r="43" spans="1:10" ht="30" customHeight="1">
      <c r="A43" s="37">
        <v>19</v>
      </c>
      <c r="B43" s="38" t="s">
        <v>142</v>
      </c>
      <c r="C43" s="54" t="s">
        <v>143</v>
      </c>
      <c r="D43" s="40" t="s">
        <v>659</v>
      </c>
      <c r="E43" s="41" t="s">
        <v>145</v>
      </c>
      <c r="F43" s="56">
        <f>G43/4.143</f>
        <v>523.7750422399228</v>
      </c>
      <c r="G43" s="42">
        <v>2170</v>
      </c>
      <c r="H43" s="40" t="s">
        <v>63</v>
      </c>
      <c r="I43" s="31"/>
      <c r="J43" s="12">
        <f>482</f>
        <v>482</v>
      </c>
    </row>
    <row r="44" spans="1:9" ht="30" customHeight="1" hidden="1">
      <c r="A44" s="37"/>
      <c r="B44" s="45" t="s">
        <v>660</v>
      </c>
      <c r="C44" s="46"/>
      <c r="D44" s="40"/>
      <c r="E44" s="41"/>
      <c r="F44" s="41"/>
      <c r="G44" s="42">
        <f>SUM(G43)</f>
        <v>2170</v>
      </c>
      <c r="H44" s="51"/>
      <c r="I44" s="31"/>
    </row>
    <row r="45" spans="1:9" ht="27" customHeight="1" hidden="1">
      <c r="A45" s="37"/>
      <c r="B45" s="57" t="s">
        <v>685</v>
      </c>
      <c r="C45" s="58"/>
      <c r="D45" s="47"/>
      <c r="E45" s="47"/>
      <c r="F45" s="47"/>
      <c r="G45" s="42">
        <f>G30+G37+G42+G44+G39</f>
        <v>15148</v>
      </c>
      <c r="H45" s="49"/>
      <c r="I45" s="34"/>
    </row>
    <row r="46" spans="1:9" ht="30" customHeight="1">
      <c r="A46" s="35" t="s">
        <v>584</v>
      </c>
      <c r="B46" s="36"/>
      <c r="C46" s="36"/>
      <c r="D46" s="36"/>
      <c r="E46" s="36"/>
      <c r="F46" s="36"/>
      <c r="G46" s="36"/>
      <c r="H46" s="36"/>
      <c r="I46" s="36"/>
    </row>
    <row r="47" spans="3:9" ht="12" customHeight="1" hidden="1">
      <c r="C47" s="59"/>
      <c r="D47" s="60" t="s">
        <v>4</v>
      </c>
      <c r="E47" s="61"/>
      <c r="F47" s="61"/>
      <c r="G47" s="62"/>
      <c r="H47" s="61"/>
      <c r="I47" s="61"/>
    </row>
    <row r="48" ht="15.75" customHeight="1" hidden="1"/>
    <row r="49" spans="1:11" ht="15.75" customHeight="1" hidden="1">
      <c r="A49" s="26" t="s">
        <v>5</v>
      </c>
      <c r="B49" s="27" t="s">
        <v>6</v>
      </c>
      <c r="C49" s="28" t="s">
        <v>7</v>
      </c>
      <c r="D49" s="63" t="s">
        <v>8</v>
      </c>
      <c r="E49" s="28" t="s">
        <v>9</v>
      </c>
      <c r="F49" s="28" t="s">
        <v>10</v>
      </c>
      <c r="G49" s="64" t="s">
        <v>11</v>
      </c>
      <c r="H49" s="63" t="s">
        <v>12</v>
      </c>
      <c r="I49" s="63" t="s">
        <v>13</v>
      </c>
      <c r="J49" s="71"/>
      <c r="K49" s="71"/>
    </row>
    <row r="50" spans="1:9" ht="31.5" customHeight="1" hidden="1">
      <c r="A50" s="29"/>
      <c r="B50" s="30"/>
      <c r="C50" s="31"/>
      <c r="D50" s="65"/>
      <c r="E50" s="31"/>
      <c r="F50" s="31"/>
      <c r="G50" s="66"/>
      <c r="H50" s="65"/>
      <c r="I50" s="65"/>
    </row>
    <row r="51" spans="1:9" ht="44.25" customHeight="1" hidden="1">
      <c r="A51" s="32"/>
      <c r="B51" s="33"/>
      <c r="C51" s="34"/>
      <c r="D51" s="67"/>
      <c r="E51" s="34"/>
      <c r="F51" s="34"/>
      <c r="G51" s="68"/>
      <c r="H51" s="67"/>
      <c r="I51" s="67"/>
    </row>
    <row r="52" spans="1:9" ht="20.25" customHeight="1" hidden="1">
      <c r="A52" s="32">
        <v>1</v>
      </c>
      <c r="B52" s="33">
        <v>2</v>
      </c>
      <c r="C52" s="34">
        <v>3</v>
      </c>
      <c r="D52" s="67">
        <v>4</v>
      </c>
      <c r="E52" s="34">
        <v>5</v>
      </c>
      <c r="F52" s="34">
        <v>6</v>
      </c>
      <c r="G52" s="68">
        <v>7</v>
      </c>
      <c r="H52" s="67">
        <v>8</v>
      </c>
      <c r="I52" s="76">
        <v>9</v>
      </c>
    </row>
    <row r="53" spans="1:12" ht="32.25" customHeight="1">
      <c r="A53" s="37">
        <v>20</v>
      </c>
      <c r="B53" s="38" t="s">
        <v>15</v>
      </c>
      <c r="C53" s="39" t="s">
        <v>16</v>
      </c>
      <c r="D53" s="40" t="s">
        <v>635</v>
      </c>
      <c r="E53" s="41" t="s">
        <v>18</v>
      </c>
      <c r="F53" s="41">
        <v>8</v>
      </c>
      <c r="G53" s="42">
        <v>1680</v>
      </c>
      <c r="H53" s="40" t="s">
        <v>63</v>
      </c>
      <c r="I53" s="77" t="s">
        <v>253</v>
      </c>
      <c r="L53" s="74">
        <f>G53-K53</f>
        <v>1680</v>
      </c>
    </row>
    <row r="54" spans="1:12" ht="29.25" customHeight="1">
      <c r="A54" s="37">
        <v>21</v>
      </c>
      <c r="B54" s="38" t="s">
        <v>166</v>
      </c>
      <c r="C54" s="43" t="s">
        <v>16</v>
      </c>
      <c r="D54" s="40" t="s">
        <v>635</v>
      </c>
      <c r="E54" s="41" t="s">
        <v>25</v>
      </c>
      <c r="F54" s="41">
        <v>1</v>
      </c>
      <c r="G54" s="42">
        <v>20</v>
      </c>
      <c r="H54" s="40" t="s">
        <v>63</v>
      </c>
      <c r="I54" s="31"/>
      <c r="L54" s="74"/>
    </row>
    <row r="55" spans="1:14" ht="17.25" customHeight="1" hidden="1">
      <c r="A55" s="37"/>
      <c r="B55" s="45" t="s">
        <v>636</v>
      </c>
      <c r="C55" s="46"/>
      <c r="D55" s="40"/>
      <c r="E55" s="41"/>
      <c r="F55" s="41"/>
      <c r="G55" s="42">
        <f>SUM(G53:G54)</f>
        <v>1700</v>
      </c>
      <c r="H55" s="51"/>
      <c r="I55" s="31"/>
      <c r="K55" s="74">
        <f>SUM(K53:K54)</f>
        <v>0</v>
      </c>
      <c r="L55" s="74">
        <f>SUM(L54:L54)</f>
        <v>0</v>
      </c>
      <c r="N55" s="74"/>
    </row>
    <row r="56" spans="1:12" ht="43.5" customHeight="1">
      <c r="A56" s="37">
        <v>22</v>
      </c>
      <c r="B56" s="38" t="s">
        <v>236</v>
      </c>
      <c r="C56" s="40" t="s">
        <v>119</v>
      </c>
      <c r="D56" s="40" t="s">
        <v>637</v>
      </c>
      <c r="E56" s="41" t="s">
        <v>120</v>
      </c>
      <c r="F56" s="50" t="s">
        <v>605</v>
      </c>
      <c r="G56" s="42">
        <v>868</v>
      </c>
      <c r="H56" s="40" t="s">
        <v>63</v>
      </c>
      <c r="I56" s="31"/>
      <c r="L56" s="74">
        <f aca="true" t="shared" si="2" ref="L56:L63">G56-K56</f>
        <v>868</v>
      </c>
    </row>
    <row r="57" spans="1:12" ht="30.75" customHeight="1">
      <c r="A57" s="37">
        <v>23</v>
      </c>
      <c r="B57" s="38" t="s">
        <v>433</v>
      </c>
      <c r="C57" s="40" t="s">
        <v>234</v>
      </c>
      <c r="D57" s="40" t="s">
        <v>637</v>
      </c>
      <c r="E57" s="41" t="s">
        <v>113</v>
      </c>
      <c r="F57" s="50" t="s">
        <v>117</v>
      </c>
      <c r="G57" s="42">
        <v>3780</v>
      </c>
      <c r="H57" s="40" t="s">
        <v>63</v>
      </c>
      <c r="I57" s="31"/>
      <c r="K57" s="12">
        <f>1260</f>
        <v>1260</v>
      </c>
      <c r="L57" s="74">
        <f t="shared" si="2"/>
        <v>2520</v>
      </c>
    </row>
    <row r="58" spans="1:12" ht="29.25" customHeight="1">
      <c r="A58" s="37">
        <v>24</v>
      </c>
      <c r="B58" s="38" t="s">
        <v>130</v>
      </c>
      <c r="C58" s="40" t="s">
        <v>131</v>
      </c>
      <c r="D58" s="40" t="s">
        <v>637</v>
      </c>
      <c r="E58" s="41" t="s">
        <v>25</v>
      </c>
      <c r="F58" s="50">
        <v>2</v>
      </c>
      <c r="G58" s="42">
        <v>560</v>
      </c>
      <c r="H58" s="40" t="s">
        <v>63</v>
      </c>
      <c r="I58" s="31"/>
      <c r="L58" s="74">
        <f t="shared" si="2"/>
        <v>560</v>
      </c>
    </row>
    <row r="59" spans="1:12" ht="29.25" customHeight="1">
      <c r="A59" s="37">
        <v>25</v>
      </c>
      <c r="B59" s="38" t="s">
        <v>130</v>
      </c>
      <c r="C59" s="40" t="s">
        <v>131</v>
      </c>
      <c r="D59" s="40" t="s">
        <v>637</v>
      </c>
      <c r="E59" s="41" t="s">
        <v>25</v>
      </c>
      <c r="F59" s="50">
        <v>2</v>
      </c>
      <c r="G59" s="42">
        <v>560</v>
      </c>
      <c r="H59" s="40" t="s">
        <v>19</v>
      </c>
      <c r="I59" s="31"/>
      <c r="L59" s="74">
        <f t="shared" si="2"/>
        <v>560</v>
      </c>
    </row>
    <row r="60" spans="1:12" ht="29.25" customHeight="1">
      <c r="A60" s="37">
        <v>26</v>
      </c>
      <c r="B60" s="38" t="s">
        <v>130</v>
      </c>
      <c r="C60" s="40" t="s">
        <v>131</v>
      </c>
      <c r="D60" s="40" t="s">
        <v>637</v>
      </c>
      <c r="E60" s="41" t="s">
        <v>25</v>
      </c>
      <c r="F60" s="50">
        <v>2</v>
      </c>
      <c r="G60" s="42">
        <v>560</v>
      </c>
      <c r="H60" s="40" t="s">
        <v>132</v>
      </c>
      <c r="I60" s="31"/>
      <c r="L60" s="74">
        <f t="shared" si="2"/>
        <v>560</v>
      </c>
    </row>
    <row r="61" spans="1:12" ht="30" customHeight="1">
      <c r="A61" s="37">
        <v>27</v>
      </c>
      <c r="B61" s="38" t="s">
        <v>638</v>
      </c>
      <c r="C61" s="40" t="s">
        <v>131</v>
      </c>
      <c r="D61" s="40" t="s">
        <v>637</v>
      </c>
      <c r="E61" s="41" t="s">
        <v>25</v>
      </c>
      <c r="F61" s="41">
        <v>1</v>
      </c>
      <c r="G61" s="42">
        <v>1370</v>
      </c>
      <c r="H61" s="40" t="s">
        <v>63</v>
      </c>
      <c r="I61" s="31"/>
      <c r="L61" s="74">
        <f t="shared" si="2"/>
        <v>1370</v>
      </c>
    </row>
    <row r="62" spans="1:12" ht="30" customHeight="1">
      <c r="A62" s="37">
        <v>28</v>
      </c>
      <c r="B62" s="38" t="s">
        <v>639</v>
      </c>
      <c r="C62" s="40" t="s">
        <v>123</v>
      </c>
      <c r="D62" s="40" t="s">
        <v>637</v>
      </c>
      <c r="E62" s="41" t="s">
        <v>113</v>
      </c>
      <c r="F62" s="41" t="s">
        <v>640</v>
      </c>
      <c r="G62" s="42">
        <v>2</v>
      </c>
      <c r="H62" s="40" t="s">
        <v>132</v>
      </c>
      <c r="I62" s="31"/>
      <c r="L62" s="74">
        <f t="shared" si="2"/>
        <v>2</v>
      </c>
    </row>
    <row r="63" spans="1:12" ht="18.75" customHeight="1" hidden="1">
      <c r="A63" s="37"/>
      <c r="B63" s="45" t="s">
        <v>641</v>
      </c>
      <c r="C63" s="46"/>
      <c r="D63" s="40"/>
      <c r="E63" s="41"/>
      <c r="F63" s="41"/>
      <c r="G63" s="42">
        <f>SUM(G56:G62)</f>
        <v>7700</v>
      </c>
      <c r="H63" s="51"/>
      <c r="I63" s="31"/>
      <c r="L63" s="74">
        <f t="shared" si="2"/>
        <v>7700</v>
      </c>
    </row>
    <row r="64" spans="1:12" ht="33" customHeight="1">
      <c r="A64" s="37">
        <v>29</v>
      </c>
      <c r="B64" s="38" t="s">
        <v>137</v>
      </c>
      <c r="C64" s="52" t="s">
        <v>138</v>
      </c>
      <c r="D64" s="40" t="s">
        <v>642</v>
      </c>
      <c r="E64" s="41" t="s">
        <v>579</v>
      </c>
      <c r="F64" s="69">
        <f>G64/2878.55</f>
        <v>2.640218165395772</v>
      </c>
      <c r="G64" s="42">
        <v>7600</v>
      </c>
      <c r="H64" s="40" t="s">
        <v>63</v>
      </c>
      <c r="I64" s="31"/>
      <c r="L64" s="74"/>
    </row>
    <row r="65" spans="1:12" ht="21.75" customHeight="1" hidden="1">
      <c r="A65" s="37"/>
      <c r="B65" s="45" t="s">
        <v>643</v>
      </c>
      <c r="C65" s="46"/>
      <c r="D65" s="40"/>
      <c r="E65" s="41"/>
      <c r="F65" s="41"/>
      <c r="G65" s="42">
        <f>G64</f>
        <v>7600</v>
      </c>
      <c r="H65" s="51"/>
      <c r="I65" s="31"/>
      <c r="L65" s="74"/>
    </row>
    <row r="66" spans="1:11" ht="31.5" customHeight="1">
      <c r="A66" s="37">
        <v>30</v>
      </c>
      <c r="B66" s="38" t="s">
        <v>244</v>
      </c>
      <c r="C66" s="54" t="s">
        <v>245</v>
      </c>
      <c r="D66" s="40" t="s">
        <v>644</v>
      </c>
      <c r="E66" s="41" t="s">
        <v>110</v>
      </c>
      <c r="F66" s="53">
        <v>3.789314</v>
      </c>
      <c r="G66" s="42">
        <v>48.21</v>
      </c>
      <c r="H66" s="40" t="s">
        <v>63</v>
      </c>
      <c r="I66" s="31"/>
      <c r="K66" s="12">
        <f>11.23</f>
        <v>11.23</v>
      </c>
    </row>
    <row r="67" spans="1:9" ht="30.75" customHeight="1">
      <c r="A67" s="37">
        <v>31</v>
      </c>
      <c r="B67" s="38" t="s">
        <v>645</v>
      </c>
      <c r="C67" s="55" t="s">
        <v>518</v>
      </c>
      <c r="D67" s="40" t="s">
        <v>644</v>
      </c>
      <c r="E67" s="41" t="s">
        <v>110</v>
      </c>
      <c r="F67" s="53">
        <v>3.789314</v>
      </c>
      <c r="G67" s="42">
        <v>51.79</v>
      </c>
      <c r="H67" s="40" t="s">
        <v>63</v>
      </c>
      <c r="I67" s="31"/>
    </row>
    <row r="68" spans="1:9" ht="21" customHeight="1" hidden="1">
      <c r="A68" s="37"/>
      <c r="B68" s="45" t="s">
        <v>646</v>
      </c>
      <c r="C68" s="46"/>
      <c r="D68" s="40"/>
      <c r="E68" s="41"/>
      <c r="F68" s="41"/>
      <c r="G68" s="42">
        <f>SUM(G66:G67)</f>
        <v>100</v>
      </c>
      <c r="H68" s="51"/>
      <c r="I68" s="31"/>
    </row>
    <row r="69" spans="1:9" ht="30.75" customHeight="1">
      <c r="A69" s="37">
        <v>32</v>
      </c>
      <c r="B69" s="38" t="s">
        <v>142</v>
      </c>
      <c r="C69" s="54" t="s">
        <v>143</v>
      </c>
      <c r="D69" s="40" t="s">
        <v>647</v>
      </c>
      <c r="E69" s="41" t="s">
        <v>145</v>
      </c>
      <c r="F69" s="56">
        <f>G69/4.143</f>
        <v>193.09678976587014</v>
      </c>
      <c r="G69" s="42">
        <v>800</v>
      </c>
      <c r="H69" s="40" t="s">
        <v>63</v>
      </c>
      <c r="I69" s="31"/>
    </row>
    <row r="70" spans="1:9" ht="17.25" customHeight="1" hidden="1">
      <c r="A70" s="37"/>
      <c r="B70" s="45" t="s">
        <v>648</v>
      </c>
      <c r="C70" s="46"/>
      <c r="D70" s="40"/>
      <c r="E70" s="41"/>
      <c r="F70" s="41"/>
      <c r="G70" s="42">
        <f>SUM(G69)</f>
        <v>800</v>
      </c>
      <c r="H70" s="51"/>
      <c r="I70" s="31"/>
    </row>
    <row r="71" spans="1:9" ht="27" customHeight="1" hidden="1">
      <c r="A71" s="37"/>
      <c r="B71" s="78" t="s">
        <v>685</v>
      </c>
      <c r="C71" s="79"/>
      <c r="D71" s="80"/>
      <c r="E71" s="80"/>
      <c r="F71" s="80"/>
      <c r="G71" s="81">
        <f>G55+G63+G68+G70+G65</f>
        <v>17900</v>
      </c>
      <c r="H71" s="82"/>
      <c r="I71" s="34"/>
    </row>
    <row r="72" spans="1:9" ht="30" customHeight="1">
      <c r="A72" s="35" t="s">
        <v>584</v>
      </c>
      <c r="B72" s="36"/>
      <c r="C72" s="36"/>
      <c r="D72" s="36"/>
      <c r="E72" s="36"/>
      <c r="F72" s="36"/>
      <c r="G72" s="36"/>
      <c r="H72" s="36"/>
      <c r="I72" s="36"/>
    </row>
    <row r="73" spans="3:9" ht="12" customHeight="1" hidden="1">
      <c r="C73" s="59"/>
      <c r="D73" s="60" t="s">
        <v>4</v>
      </c>
      <c r="E73" s="61"/>
      <c r="F73" s="61"/>
      <c r="G73" s="62"/>
      <c r="H73" s="61"/>
      <c r="I73" s="61"/>
    </row>
    <row r="74" ht="15.75" customHeight="1" hidden="1"/>
    <row r="75" spans="1:11" ht="15.75" customHeight="1" hidden="1">
      <c r="A75" s="83" t="s">
        <v>5</v>
      </c>
      <c r="B75" s="28" t="s">
        <v>6</v>
      </c>
      <c r="C75" s="28" t="s">
        <v>7</v>
      </c>
      <c r="D75" s="63" t="s">
        <v>8</v>
      </c>
      <c r="E75" s="28" t="s">
        <v>9</v>
      </c>
      <c r="F75" s="28" t="s">
        <v>10</v>
      </c>
      <c r="G75" s="64" t="s">
        <v>11</v>
      </c>
      <c r="H75" s="63" t="s">
        <v>12</v>
      </c>
      <c r="I75" s="63" t="s">
        <v>13</v>
      </c>
      <c r="J75" s="71"/>
      <c r="K75" s="71"/>
    </row>
    <row r="76" spans="1:9" ht="31.5" customHeight="1" hidden="1">
      <c r="A76" s="84"/>
      <c r="B76" s="31"/>
      <c r="C76" s="31"/>
      <c r="D76" s="65"/>
      <c r="E76" s="31"/>
      <c r="F76" s="31"/>
      <c r="G76" s="66"/>
      <c r="H76" s="65"/>
      <c r="I76" s="65"/>
    </row>
    <row r="77" spans="1:9" ht="54.75" customHeight="1" hidden="1">
      <c r="A77" s="85"/>
      <c r="B77" s="34"/>
      <c r="C77" s="34"/>
      <c r="D77" s="67"/>
      <c r="E77" s="34"/>
      <c r="F77" s="34"/>
      <c r="G77" s="68"/>
      <c r="H77" s="67"/>
      <c r="I77" s="67"/>
    </row>
    <row r="78" spans="1:13" s="3" customFormat="1" ht="20.25" customHeight="1" hidden="1">
      <c r="A78" s="32">
        <v>1</v>
      </c>
      <c r="B78" s="33">
        <v>2</v>
      </c>
      <c r="C78" s="34">
        <v>3</v>
      </c>
      <c r="D78" s="67">
        <v>4</v>
      </c>
      <c r="E78" s="34">
        <v>5</v>
      </c>
      <c r="F78" s="34">
        <v>6</v>
      </c>
      <c r="G78" s="68">
        <v>7</v>
      </c>
      <c r="H78" s="67">
        <v>8</v>
      </c>
      <c r="I78" s="76">
        <v>9</v>
      </c>
      <c r="M78" s="3" t="s">
        <v>14</v>
      </c>
    </row>
    <row r="79" spans="1:12" ht="45" customHeight="1">
      <c r="A79" s="37">
        <v>33</v>
      </c>
      <c r="B79" s="38" t="s">
        <v>466</v>
      </c>
      <c r="C79" s="39" t="s">
        <v>204</v>
      </c>
      <c r="D79" s="40" t="s">
        <v>614</v>
      </c>
      <c r="E79" s="41" t="s">
        <v>205</v>
      </c>
      <c r="F79" s="41">
        <v>10.278</v>
      </c>
      <c r="G79" s="42">
        <v>26919.55</v>
      </c>
      <c r="H79" s="40" t="s">
        <v>63</v>
      </c>
      <c r="I79" s="73" t="s">
        <v>253</v>
      </c>
      <c r="L79" s="74">
        <f aca="true" t="shared" si="3" ref="L79:L84">G79-K79</f>
        <v>26919.55</v>
      </c>
    </row>
    <row r="80" spans="1:12" ht="45" customHeight="1">
      <c r="A80" s="37">
        <v>34</v>
      </c>
      <c r="B80" s="38" t="s">
        <v>615</v>
      </c>
      <c r="C80" s="43" t="s">
        <v>204</v>
      </c>
      <c r="D80" s="40" t="s">
        <v>614</v>
      </c>
      <c r="E80" s="41" t="s">
        <v>205</v>
      </c>
      <c r="F80" s="41">
        <v>2.75</v>
      </c>
      <c r="G80" s="42">
        <v>2500</v>
      </c>
      <c r="H80" s="40" t="s">
        <v>63</v>
      </c>
      <c r="I80" s="100"/>
      <c r="L80" s="74">
        <f t="shared" si="3"/>
        <v>2500</v>
      </c>
    </row>
    <row r="81" spans="1:12" ht="45" customHeight="1">
      <c r="A81" s="37">
        <v>35</v>
      </c>
      <c r="B81" s="38" t="s">
        <v>265</v>
      </c>
      <c r="C81" s="43" t="s">
        <v>204</v>
      </c>
      <c r="D81" s="40" t="s">
        <v>614</v>
      </c>
      <c r="E81" s="41" t="s">
        <v>205</v>
      </c>
      <c r="F81" s="41">
        <v>3.973</v>
      </c>
      <c r="G81" s="42">
        <v>1481.93</v>
      </c>
      <c r="H81" s="40" t="s">
        <v>63</v>
      </c>
      <c r="I81" s="100"/>
      <c r="L81" s="74">
        <f t="shared" si="3"/>
        <v>1481.93</v>
      </c>
    </row>
    <row r="82" spans="1:12" ht="30.75" customHeight="1">
      <c r="A82" s="37">
        <v>36</v>
      </c>
      <c r="B82" s="38" t="s">
        <v>208</v>
      </c>
      <c r="C82" s="43" t="s">
        <v>209</v>
      </c>
      <c r="D82" s="40" t="s">
        <v>614</v>
      </c>
      <c r="E82" s="41" t="s">
        <v>210</v>
      </c>
      <c r="F82" s="41">
        <v>11.06</v>
      </c>
      <c r="G82" s="42">
        <v>2098.52</v>
      </c>
      <c r="H82" s="40" t="s">
        <v>63</v>
      </c>
      <c r="I82" s="100"/>
      <c r="L82" s="74">
        <f t="shared" si="3"/>
        <v>2098.52</v>
      </c>
    </row>
    <row r="83" spans="1:12" ht="44.25" customHeight="1">
      <c r="A83" s="37">
        <v>37</v>
      </c>
      <c r="B83" s="38" t="s">
        <v>615</v>
      </c>
      <c r="C83" s="43" t="s">
        <v>204</v>
      </c>
      <c r="D83" s="40" t="s">
        <v>614</v>
      </c>
      <c r="E83" s="41" t="s">
        <v>205</v>
      </c>
      <c r="F83" s="41">
        <v>2.65</v>
      </c>
      <c r="G83" s="42">
        <v>2414</v>
      </c>
      <c r="H83" s="40" t="s">
        <v>19</v>
      </c>
      <c r="I83" s="100"/>
      <c r="L83" s="74">
        <f t="shared" si="3"/>
        <v>2414</v>
      </c>
    </row>
    <row r="84" spans="1:12" ht="44.25" customHeight="1">
      <c r="A84" s="37">
        <v>38</v>
      </c>
      <c r="B84" s="38" t="s">
        <v>466</v>
      </c>
      <c r="C84" s="43" t="s">
        <v>204</v>
      </c>
      <c r="D84" s="40" t="s">
        <v>614</v>
      </c>
      <c r="E84" s="41" t="s">
        <v>205</v>
      </c>
      <c r="F84" s="41">
        <v>8.012</v>
      </c>
      <c r="G84" s="42">
        <v>20986</v>
      </c>
      <c r="H84" s="40" t="s">
        <v>19</v>
      </c>
      <c r="I84" s="100"/>
      <c r="L84" s="74">
        <f t="shared" si="3"/>
        <v>20986</v>
      </c>
    </row>
    <row r="85" spans="1:14" ht="16.5" customHeight="1" hidden="1">
      <c r="A85" s="37"/>
      <c r="B85" s="86" t="s">
        <v>616</v>
      </c>
      <c r="C85" s="46"/>
      <c r="D85" s="40"/>
      <c r="E85" s="41"/>
      <c r="F85" s="41"/>
      <c r="G85" s="42">
        <f>SUM(G79:G84)</f>
        <v>56400</v>
      </c>
      <c r="H85" s="51"/>
      <c r="I85" s="100"/>
      <c r="K85" s="74">
        <f>SUM(K79:K84)</f>
        <v>0</v>
      </c>
      <c r="L85" s="74">
        <f>SUM(L79:L84)</f>
        <v>56400</v>
      </c>
      <c r="N85" s="74"/>
    </row>
    <row r="86" spans="1:12" ht="32.25" customHeight="1">
      <c r="A86" s="37">
        <v>39</v>
      </c>
      <c r="B86" s="38" t="s">
        <v>235</v>
      </c>
      <c r="C86" s="40" t="s">
        <v>116</v>
      </c>
      <c r="D86" s="40" t="s">
        <v>617</v>
      </c>
      <c r="E86" s="41" t="s">
        <v>113</v>
      </c>
      <c r="F86" s="50" t="s">
        <v>117</v>
      </c>
      <c r="G86" s="42">
        <v>1476</v>
      </c>
      <c r="H86" s="40" t="s">
        <v>63</v>
      </c>
      <c r="I86" s="100"/>
      <c r="L86" s="74">
        <f aca="true" t="shared" si="4" ref="L86:L92">G86-K86</f>
        <v>1476</v>
      </c>
    </row>
    <row r="87" spans="1:12" ht="30" customHeight="1">
      <c r="A87" s="37">
        <v>40</v>
      </c>
      <c r="B87" s="38" t="s">
        <v>433</v>
      </c>
      <c r="C87" s="40" t="s">
        <v>234</v>
      </c>
      <c r="D87" s="40" t="s">
        <v>617</v>
      </c>
      <c r="E87" s="41" t="s">
        <v>113</v>
      </c>
      <c r="F87" s="50" t="s">
        <v>117</v>
      </c>
      <c r="G87" s="42">
        <v>780</v>
      </c>
      <c r="H87" s="40" t="s">
        <v>63</v>
      </c>
      <c r="I87" s="100"/>
      <c r="L87" s="74">
        <f t="shared" si="4"/>
        <v>780</v>
      </c>
    </row>
    <row r="88" spans="1:12" ht="30" customHeight="1">
      <c r="A88" s="37">
        <v>41</v>
      </c>
      <c r="B88" s="38" t="s">
        <v>130</v>
      </c>
      <c r="C88" s="40" t="s">
        <v>131</v>
      </c>
      <c r="D88" s="40" t="s">
        <v>617</v>
      </c>
      <c r="E88" s="41" t="s">
        <v>25</v>
      </c>
      <c r="F88" s="41">
        <v>6</v>
      </c>
      <c r="G88" s="42">
        <v>1680</v>
      </c>
      <c r="H88" s="40" t="s">
        <v>63</v>
      </c>
      <c r="I88" s="100"/>
      <c r="L88" s="74">
        <f t="shared" si="4"/>
        <v>1680</v>
      </c>
    </row>
    <row r="89" spans="1:12" ht="30" customHeight="1">
      <c r="A89" s="37">
        <v>42</v>
      </c>
      <c r="B89" s="38" t="s">
        <v>130</v>
      </c>
      <c r="C89" s="40" t="s">
        <v>131</v>
      </c>
      <c r="D89" s="40" t="s">
        <v>617</v>
      </c>
      <c r="E89" s="41" t="s">
        <v>25</v>
      </c>
      <c r="F89" s="41">
        <v>6</v>
      </c>
      <c r="G89" s="42">
        <v>1680</v>
      </c>
      <c r="H89" s="40" t="s">
        <v>19</v>
      </c>
      <c r="I89" s="100"/>
      <c r="L89" s="74">
        <f t="shared" si="4"/>
        <v>1680</v>
      </c>
    </row>
    <row r="90" spans="1:12" ht="30" customHeight="1">
      <c r="A90" s="37">
        <v>43</v>
      </c>
      <c r="B90" s="38" t="s">
        <v>130</v>
      </c>
      <c r="C90" s="40" t="s">
        <v>131</v>
      </c>
      <c r="D90" s="40" t="s">
        <v>617</v>
      </c>
      <c r="E90" s="41" t="s">
        <v>25</v>
      </c>
      <c r="F90" s="41">
        <v>6</v>
      </c>
      <c r="G90" s="42">
        <v>1680</v>
      </c>
      <c r="H90" s="40" t="s">
        <v>132</v>
      </c>
      <c r="I90" s="100"/>
      <c r="L90" s="74">
        <f t="shared" si="4"/>
        <v>1680</v>
      </c>
    </row>
    <row r="91" spans="1:12" ht="45" customHeight="1">
      <c r="A91" s="37">
        <v>44</v>
      </c>
      <c r="B91" s="38" t="s">
        <v>236</v>
      </c>
      <c r="C91" s="40" t="s">
        <v>119</v>
      </c>
      <c r="D91" s="40" t="s">
        <v>617</v>
      </c>
      <c r="E91" s="41" t="s">
        <v>120</v>
      </c>
      <c r="F91" s="50" t="s">
        <v>605</v>
      </c>
      <c r="G91" s="42">
        <v>2904</v>
      </c>
      <c r="H91" s="40" t="s">
        <v>63</v>
      </c>
      <c r="I91" s="100"/>
      <c r="L91" s="74">
        <f t="shared" si="4"/>
        <v>2904</v>
      </c>
    </row>
    <row r="92" spans="1:12" ht="64.5" customHeight="1">
      <c r="A92" s="37">
        <v>45</v>
      </c>
      <c r="B92" s="87" t="s">
        <v>618</v>
      </c>
      <c r="C92" s="88" t="s">
        <v>619</v>
      </c>
      <c r="D92" s="40" t="s">
        <v>617</v>
      </c>
      <c r="E92" s="41" t="s">
        <v>113</v>
      </c>
      <c r="F92" s="41" t="s">
        <v>117</v>
      </c>
      <c r="G92" s="42">
        <v>8700</v>
      </c>
      <c r="H92" s="40" t="s">
        <v>63</v>
      </c>
      <c r="I92" s="100"/>
      <c r="L92" s="74">
        <f t="shared" si="4"/>
        <v>8700</v>
      </c>
    </row>
    <row r="93" spans="1:11" ht="21.75" customHeight="1" hidden="1">
      <c r="A93" s="37"/>
      <c r="B93" s="86" t="s">
        <v>620</v>
      </c>
      <c r="C93" s="46"/>
      <c r="D93" s="40"/>
      <c r="E93" s="41"/>
      <c r="F93" s="41"/>
      <c r="G93" s="42">
        <f>SUM(G86:G92)</f>
        <v>18900</v>
      </c>
      <c r="H93" s="51"/>
      <c r="I93" s="100"/>
      <c r="K93" s="12">
        <f>SUM(K86:K92)</f>
        <v>0</v>
      </c>
    </row>
    <row r="94" spans="1:11" ht="29.25" customHeight="1">
      <c r="A94" s="37">
        <v>46</v>
      </c>
      <c r="B94" s="38" t="s">
        <v>137</v>
      </c>
      <c r="C94" s="52" t="s">
        <v>138</v>
      </c>
      <c r="D94" s="40" t="s">
        <v>621</v>
      </c>
      <c r="E94" s="41" t="s">
        <v>140</v>
      </c>
      <c r="F94" s="53">
        <f>G94/67.76</f>
        <v>413.2231404958677</v>
      </c>
      <c r="G94" s="42">
        <v>28000</v>
      </c>
      <c r="H94" s="40" t="s">
        <v>63</v>
      </c>
      <c r="I94" s="100"/>
      <c r="K94" s="12">
        <f>11237.67</f>
        <v>11237.67</v>
      </c>
    </row>
    <row r="95" spans="1:9" ht="21.75" customHeight="1" hidden="1">
      <c r="A95" s="37"/>
      <c r="B95" s="86" t="s">
        <v>622</v>
      </c>
      <c r="C95" s="46"/>
      <c r="D95" s="40"/>
      <c r="E95" s="41"/>
      <c r="F95" s="41"/>
      <c r="G95" s="42">
        <f>SUM(G94)</f>
        <v>28000</v>
      </c>
      <c r="H95" s="51"/>
      <c r="I95" s="100"/>
    </row>
    <row r="96" spans="1:9" ht="31.5" customHeight="1">
      <c r="A96" s="37">
        <v>47</v>
      </c>
      <c r="B96" s="38" t="s">
        <v>485</v>
      </c>
      <c r="C96" s="54" t="s">
        <v>245</v>
      </c>
      <c r="D96" s="40" t="s">
        <v>623</v>
      </c>
      <c r="E96" s="41" t="s">
        <v>110</v>
      </c>
      <c r="F96" s="53">
        <v>7.58</v>
      </c>
      <c r="G96" s="42">
        <v>96.42</v>
      </c>
      <c r="H96" s="40" t="s">
        <v>63</v>
      </c>
      <c r="I96" s="100"/>
    </row>
    <row r="97" spans="1:9" ht="31.5" customHeight="1">
      <c r="A97" s="37">
        <v>48</v>
      </c>
      <c r="B97" s="38" t="s">
        <v>517</v>
      </c>
      <c r="C97" s="55" t="s">
        <v>518</v>
      </c>
      <c r="D97" s="40" t="s">
        <v>623</v>
      </c>
      <c r="E97" s="41" t="s">
        <v>110</v>
      </c>
      <c r="F97" s="53">
        <v>7.58</v>
      </c>
      <c r="G97" s="42">
        <v>103.58</v>
      </c>
      <c r="H97" s="40" t="s">
        <v>63</v>
      </c>
      <c r="I97" s="100"/>
    </row>
    <row r="98" spans="1:9" ht="24.75" customHeight="1" hidden="1">
      <c r="A98" s="37"/>
      <c r="B98" s="86" t="s">
        <v>624</v>
      </c>
      <c r="C98" s="46"/>
      <c r="D98" s="40"/>
      <c r="E98" s="41"/>
      <c r="F98" s="41"/>
      <c r="G98" s="42">
        <f>SUM(G96:G97)</f>
        <v>200</v>
      </c>
      <c r="H98" s="51"/>
      <c r="I98" s="100"/>
    </row>
    <row r="99" spans="1:11" ht="31.5" customHeight="1">
      <c r="A99" s="37">
        <v>49</v>
      </c>
      <c r="B99" s="38" t="s">
        <v>142</v>
      </c>
      <c r="C99" s="54" t="s">
        <v>143</v>
      </c>
      <c r="D99" s="40" t="s">
        <v>625</v>
      </c>
      <c r="E99" s="41" t="s">
        <v>145</v>
      </c>
      <c r="F99" s="56">
        <f>G99/4.143</f>
        <v>1762.008206613565</v>
      </c>
      <c r="G99" s="42">
        <v>7300</v>
      </c>
      <c r="H99" s="40" t="s">
        <v>63</v>
      </c>
      <c r="I99" s="100"/>
      <c r="K99" s="12">
        <f>2796.42+244.97</f>
        <v>3041.39</v>
      </c>
    </row>
    <row r="100" spans="1:9" ht="35.25" customHeight="1" hidden="1">
      <c r="A100" s="37"/>
      <c r="B100" s="86" t="s">
        <v>626</v>
      </c>
      <c r="C100" s="46"/>
      <c r="D100" s="40"/>
      <c r="E100" s="40"/>
      <c r="F100" s="40"/>
      <c r="G100" s="42">
        <f>SUM(G99)</f>
        <v>7300</v>
      </c>
      <c r="H100" s="51"/>
      <c r="I100" s="100"/>
    </row>
    <row r="101" spans="1:9" ht="27" customHeight="1" hidden="1">
      <c r="A101" s="37"/>
      <c r="B101" s="89" t="s">
        <v>685</v>
      </c>
      <c r="C101" s="79"/>
      <c r="D101" s="80"/>
      <c r="E101" s="80"/>
      <c r="F101" s="80"/>
      <c r="G101" s="81">
        <f>G85+G93+G98+G100+G95</f>
        <v>110800</v>
      </c>
      <c r="H101" s="82"/>
      <c r="I101" s="101"/>
    </row>
    <row r="102" spans="1:9" ht="30" customHeight="1">
      <c r="A102" s="35" t="s">
        <v>584</v>
      </c>
      <c r="B102" s="36"/>
      <c r="C102" s="36"/>
      <c r="D102" s="36"/>
      <c r="E102" s="36"/>
      <c r="F102" s="36"/>
      <c r="G102" s="36"/>
      <c r="H102" s="36"/>
      <c r="I102" s="36"/>
    </row>
    <row r="103" spans="3:9" ht="12" customHeight="1" hidden="1">
      <c r="C103" s="59"/>
      <c r="D103" s="60" t="s">
        <v>4</v>
      </c>
      <c r="E103" s="61"/>
      <c r="F103" s="61"/>
      <c r="G103" s="62"/>
      <c r="H103" s="61"/>
      <c r="I103" s="61"/>
    </row>
    <row r="104" ht="3" customHeight="1" hidden="1"/>
    <row r="105" spans="1:11" ht="15.75" customHeight="1" hidden="1">
      <c r="A105" s="83" t="s">
        <v>5</v>
      </c>
      <c r="B105" s="27" t="s">
        <v>6</v>
      </c>
      <c r="C105" s="28" t="s">
        <v>7</v>
      </c>
      <c r="D105" s="63" t="s">
        <v>8</v>
      </c>
      <c r="E105" s="28" t="s">
        <v>9</v>
      </c>
      <c r="F105" s="90" t="s">
        <v>10</v>
      </c>
      <c r="G105" s="64" t="s">
        <v>11</v>
      </c>
      <c r="H105" s="63" t="s">
        <v>12</v>
      </c>
      <c r="I105" s="63" t="s">
        <v>13</v>
      </c>
      <c r="J105" s="71"/>
      <c r="K105" s="71"/>
    </row>
    <row r="106" spans="1:9" ht="31.5" customHeight="1" hidden="1">
      <c r="A106" s="84"/>
      <c r="B106" s="30"/>
      <c r="C106" s="31"/>
      <c r="D106" s="65"/>
      <c r="E106" s="31"/>
      <c r="F106" s="91"/>
      <c r="G106" s="66"/>
      <c r="H106" s="65"/>
      <c r="I106" s="65"/>
    </row>
    <row r="107" spans="1:9" ht="48" customHeight="1" hidden="1">
      <c r="A107" s="85"/>
      <c r="B107" s="33"/>
      <c r="C107" s="34"/>
      <c r="D107" s="67"/>
      <c r="E107" s="34"/>
      <c r="F107" s="92"/>
      <c r="G107" s="68"/>
      <c r="H107" s="67"/>
      <c r="I107" s="67"/>
    </row>
    <row r="108" spans="1:9" ht="14.25" customHeight="1" hidden="1">
      <c r="A108" s="32">
        <v>1</v>
      </c>
      <c r="B108" s="33">
        <v>2</v>
      </c>
      <c r="C108" s="34">
        <v>3</v>
      </c>
      <c r="D108" s="67">
        <v>4</v>
      </c>
      <c r="E108" s="34">
        <v>5</v>
      </c>
      <c r="F108" s="34">
        <v>6</v>
      </c>
      <c r="G108" s="68">
        <v>7</v>
      </c>
      <c r="H108" s="67">
        <v>8</v>
      </c>
      <c r="I108" s="76">
        <v>9</v>
      </c>
    </row>
    <row r="109" spans="1:13" ht="32.25" customHeight="1">
      <c r="A109" s="37">
        <v>50</v>
      </c>
      <c r="B109" s="93" t="s">
        <v>585</v>
      </c>
      <c r="C109" s="39" t="s">
        <v>586</v>
      </c>
      <c r="D109" s="40" t="s">
        <v>587</v>
      </c>
      <c r="E109" s="41" t="s">
        <v>313</v>
      </c>
      <c r="F109" s="41">
        <v>6650</v>
      </c>
      <c r="G109" s="42">
        <v>359100</v>
      </c>
      <c r="H109" s="40" t="s">
        <v>63</v>
      </c>
      <c r="I109" s="73" t="s">
        <v>253</v>
      </c>
      <c r="J109" s="12">
        <f>1340+1920</f>
        <v>3260</v>
      </c>
      <c r="K109" s="12">
        <f>67000+96000</f>
        <v>163000</v>
      </c>
      <c r="L109" s="74">
        <f>F109-J109</f>
        <v>3390</v>
      </c>
      <c r="M109" s="74">
        <f>G109-K109</f>
        <v>196100</v>
      </c>
    </row>
    <row r="110" spans="1:13" ht="32.25" customHeight="1">
      <c r="A110" s="37">
        <v>51</v>
      </c>
      <c r="B110" s="93" t="s">
        <v>588</v>
      </c>
      <c r="C110" s="43" t="s">
        <v>586</v>
      </c>
      <c r="D110" s="40" t="s">
        <v>587</v>
      </c>
      <c r="E110" s="41" t="s">
        <v>313</v>
      </c>
      <c r="F110" s="41">
        <v>1220</v>
      </c>
      <c r="G110" s="42">
        <v>62220</v>
      </c>
      <c r="H110" s="40" t="s">
        <v>63</v>
      </c>
      <c r="I110" s="100"/>
      <c r="J110" s="12">
        <f>1340+1920</f>
        <v>3260</v>
      </c>
      <c r="K110" s="12">
        <f>67000+96000</f>
        <v>163000</v>
      </c>
      <c r="L110" s="74">
        <f>F110-J110</f>
        <v>-2040</v>
      </c>
      <c r="M110" s="74">
        <f>G110-K110</f>
        <v>-100780</v>
      </c>
    </row>
    <row r="111" spans="1:12" ht="29.25" customHeight="1">
      <c r="A111" s="37">
        <v>52</v>
      </c>
      <c r="B111" s="94" t="s">
        <v>23</v>
      </c>
      <c r="C111" s="94" t="s">
        <v>24</v>
      </c>
      <c r="D111" s="40" t="s">
        <v>587</v>
      </c>
      <c r="E111" s="41" t="s">
        <v>25</v>
      </c>
      <c r="F111" s="41">
        <v>1</v>
      </c>
      <c r="G111" s="42">
        <v>174.64</v>
      </c>
      <c r="H111" s="40" t="s">
        <v>19</v>
      </c>
      <c r="I111" s="100"/>
      <c r="L111" s="74"/>
    </row>
    <row r="112" spans="1:12" ht="30" customHeight="1">
      <c r="A112" s="37">
        <v>53</v>
      </c>
      <c r="B112" s="38" t="s">
        <v>589</v>
      </c>
      <c r="C112" s="43" t="s">
        <v>24</v>
      </c>
      <c r="D112" s="40" t="s">
        <v>587</v>
      </c>
      <c r="E112" s="41" t="s">
        <v>25</v>
      </c>
      <c r="F112" s="41">
        <v>5</v>
      </c>
      <c r="G112" s="42">
        <v>828.25</v>
      </c>
      <c r="H112" s="40" t="s">
        <v>19</v>
      </c>
      <c r="I112" s="100"/>
      <c r="J112" s="12">
        <v>6</v>
      </c>
      <c r="K112" s="12">
        <v>355.26</v>
      </c>
      <c r="L112" s="74">
        <f>G112-K112</f>
        <v>472.99</v>
      </c>
    </row>
    <row r="113" spans="1:12" ht="30" customHeight="1">
      <c r="A113" s="37">
        <v>54</v>
      </c>
      <c r="B113" s="38" t="s">
        <v>590</v>
      </c>
      <c r="C113" s="40" t="s">
        <v>573</v>
      </c>
      <c r="D113" s="40" t="s">
        <v>587</v>
      </c>
      <c r="E113" s="41" t="s">
        <v>25</v>
      </c>
      <c r="F113" s="41">
        <v>10</v>
      </c>
      <c r="G113" s="42">
        <v>174.6</v>
      </c>
      <c r="H113" s="40" t="s">
        <v>19</v>
      </c>
      <c r="I113" s="100"/>
      <c r="J113" s="12">
        <v>10</v>
      </c>
      <c r="K113" s="12">
        <v>229.3</v>
      </c>
      <c r="L113" s="74">
        <f>G113-K113</f>
        <v>-54.70000000000002</v>
      </c>
    </row>
    <row r="114" spans="1:12" ht="30" customHeight="1">
      <c r="A114" s="37">
        <v>55</v>
      </c>
      <c r="B114" s="38" t="s">
        <v>591</v>
      </c>
      <c r="C114" s="40" t="s">
        <v>592</v>
      </c>
      <c r="D114" s="40" t="s">
        <v>587</v>
      </c>
      <c r="E114" s="41" t="s">
        <v>25</v>
      </c>
      <c r="F114" s="41">
        <v>1</v>
      </c>
      <c r="G114" s="42">
        <v>140</v>
      </c>
      <c r="H114" s="40" t="s">
        <v>63</v>
      </c>
      <c r="I114" s="100"/>
      <c r="J114" s="12">
        <v>10</v>
      </c>
      <c r="K114" s="12">
        <v>229.3</v>
      </c>
      <c r="L114" s="74">
        <f>G114-K114</f>
        <v>-89.30000000000001</v>
      </c>
    </row>
    <row r="115" spans="1:12" ht="30" customHeight="1">
      <c r="A115" s="37">
        <v>56</v>
      </c>
      <c r="B115" s="38" t="s">
        <v>15</v>
      </c>
      <c r="C115" s="43" t="s">
        <v>16</v>
      </c>
      <c r="D115" s="40" t="s">
        <v>587</v>
      </c>
      <c r="E115" s="41" t="s">
        <v>18</v>
      </c>
      <c r="F115" s="41">
        <v>5</v>
      </c>
      <c r="G115" s="42">
        <v>1050</v>
      </c>
      <c r="H115" s="40" t="s">
        <v>19</v>
      </c>
      <c r="I115" s="100"/>
      <c r="J115" s="12">
        <v>6</v>
      </c>
      <c r="K115" s="12">
        <v>355.26</v>
      </c>
      <c r="L115" s="74">
        <f>G115-K115</f>
        <v>694.74</v>
      </c>
    </row>
    <row r="116" spans="1:12" ht="30" customHeight="1">
      <c r="A116" s="37">
        <v>57</v>
      </c>
      <c r="B116" s="38" t="s">
        <v>569</v>
      </c>
      <c r="C116" s="40" t="s">
        <v>36</v>
      </c>
      <c r="D116" s="40" t="s">
        <v>587</v>
      </c>
      <c r="E116" s="41" t="s">
        <v>25</v>
      </c>
      <c r="F116" s="41">
        <v>1</v>
      </c>
      <c r="G116" s="42">
        <v>192.63</v>
      </c>
      <c r="H116" s="40" t="s">
        <v>19</v>
      </c>
      <c r="I116" s="100"/>
      <c r="L116" s="74"/>
    </row>
    <row r="117" spans="1:12" ht="30" customHeight="1">
      <c r="A117" s="37">
        <v>58</v>
      </c>
      <c r="B117" s="95" t="s">
        <v>593</v>
      </c>
      <c r="C117" s="43" t="s">
        <v>594</v>
      </c>
      <c r="D117" s="40" t="s">
        <v>587</v>
      </c>
      <c r="E117" s="41" t="s">
        <v>25</v>
      </c>
      <c r="F117" s="41">
        <v>1</v>
      </c>
      <c r="G117" s="42">
        <v>311</v>
      </c>
      <c r="H117" s="40" t="s">
        <v>19</v>
      </c>
      <c r="I117" s="100"/>
      <c r="L117" s="74"/>
    </row>
    <row r="118" spans="1:12" ht="30" customHeight="1">
      <c r="A118" s="37">
        <v>59</v>
      </c>
      <c r="B118" s="38" t="s">
        <v>595</v>
      </c>
      <c r="C118" s="96" t="s">
        <v>52</v>
      </c>
      <c r="D118" s="40" t="s">
        <v>587</v>
      </c>
      <c r="E118" s="41" t="s">
        <v>25</v>
      </c>
      <c r="F118" s="41">
        <v>8</v>
      </c>
      <c r="G118" s="42">
        <v>148.88</v>
      </c>
      <c r="H118" s="40" t="s">
        <v>19</v>
      </c>
      <c r="I118" s="100"/>
      <c r="L118" s="74"/>
    </row>
    <row r="119" spans="1:12" ht="30" customHeight="1">
      <c r="A119" s="37">
        <v>60</v>
      </c>
      <c r="B119" s="95" t="s">
        <v>596</v>
      </c>
      <c r="C119" s="43" t="s">
        <v>597</v>
      </c>
      <c r="D119" s="40" t="s">
        <v>587</v>
      </c>
      <c r="E119" s="41" t="s">
        <v>25</v>
      </c>
      <c r="F119" s="41">
        <v>2</v>
      </c>
      <c r="G119" s="42">
        <v>5000</v>
      </c>
      <c r="H119" s="40" t="s">
        <v>63</v>
      </c>
      <c r="I119" s="100"/>
      <c r="L119" s="74"/>
    </row>
    <row r="120" spans="1:12" ht="29.25" customHeight="1">
      <c r="A120" s="37">
        <v>61</v>
      </c>
      <c r="B120" s="95" t="s">
        <v>598</v>
      </c>
      <c r="C120" s="43" t="s">
        <v>597</v>
      </c>
      <c r="D120" s="40" t="s">
        <v>587</v>
      </c>
      <c r="E120" s="41" t="s">
        <v>25</v>
      </c>
      <c r="F120" s="41">
        <v>2</v>
      </c>
      <c r="G120" s="42">
        <v>7110</v>
      </c>
      <c r="H120" s="40" t="s">
        <v>63</v>
      </c>
      <c r="I120" s="100"/>
      <c r="L120" s="74"/>
    </row>
    <row r="121" spans="1:12" ht="29.25" customHeight="1">
      <c r="A121" s="37">
        <v>62</v>
      </c>
      <c r="B121" s="94" t="s">
        <v>599</v>
      </c>
      <c r="C121" s="94" t="s">
        <v>24</v>
      </c>
      <c r="D121" s="40" t="s">
        <v>587</v>
      </c>
      <c r="E121" s="41" t="s">
        <v>25</v>
      </c>
      <c r="F121" s="41">
        <v>4</v>
      </c>
      <c r="G121" s="42">
        <v>2400</v>
      </c>
      <c r="H121" s="40" t="s">
        <v>63</v>
      </c>
      <c r="I121" s="100"/>
      <c r="L121" s="74"/>
    </row>
    <row r="122" spans="1:12" ht="29.25" customHeight="1">
      <c r="A122" s="37">
        <v>63</v>
      </c>
      <c r="B122" s="95" t="s">
        <v>600</v>
      </c>
      <c r="C122" s="43" t="s">
        <v>597</v>
      </c>
      <c r="D122" s="40" t="s">
        <v>587</v>
      </c>
      <c r="E122" s="41" t="s">
        <v>601</v>
      </c>
      <c r="F122" s="41">
        <v>1</v>
      </c>
      <c r="G122" s="42">
        <v>1000</v>
      </c>
      <c r="H122" s="40" t="s">
        <v>63</v>
      </c>
      <c r="I122" s="100"/>
      <c r="L122" s="74"/>
    </row>
    <row r="123" spans="1:12" ht="29.25" customHeight="1">
      <c r="A123" s="37">
        <v>64</v>
      </c>
      <c r="B123" s="95" t="s">
        <v>602</v>
      </c>
      <c r="C123" s="43" t="s">
        <v>597</v>
      </c>
      <c r="D123" s="40" t="s">
        <v>587</v>
      </c>
      <c r="E123" s="41" t="s">
        <v>25</v>
      </c>
      <c r="F123" s="41">
        <v>1</v>
      </c>
      <c r="G123" s="42">
        <v>1850</v>
      </c>
      <c r="H123" s="40" t="s">
        <v>63</v>
      </c>
      <c r="I123" s="100"/>
      <c r="L123" s="74"/>
    </row>
    <row r="124" spans="1:12" ht="29.25" customHeight="1">
      <c r="A124" s="37">
        <v>65</v>
      </c>
      <c r="B124" s="97" t="s">
        <v>506</v>
      </c>
      <c r="C124" s="43" t="s">
        <v>204</v>
      </c>
      <c r="D124" s="40" t="s">
        <v>587</v>
      </c>
      <c r="E124" s="41" t="s">
        <v>205</v>
      </c>
      <c r="F124" s="41">
        <v>28.91</v>
      </c>
      <c r="G124" s="42">
        <v>10700</v>
      </c>
      <c r="H124" s="40" t="s">
        <v>132</v>
      </c>
      <c r="I124" s="100"/>
      <c r="L124" s="74"/>
    </row>
    <row r="125" spans="1:14" ht="18.75" customHeight="1" hidden="1">
      <c r="A125" s="37"/>
      <c r="B125" s="86" t="s">
        <v>603</v>
      </c>
      <c r="C125" s="46"/>
      <c r="D125" s="47"/>
      <c r="E125" s="47"/>
      <c r="F125" s="47"/>
      <c r="G125" s="42">
        <f>SUM(G109:G124)</f>
        <v>452400</v>
      </c>
      <c r="H125" s="49"/>
      <c r="I125" s="100"/>
      <c r="K125" s="74">
        <f>SUM(K109:K124)</f>
        <v>327169.12</v>
      </c>
      <c r="L125" s="74">
        <f>SUM(L109:L124)</f>
        <v>2373.73</v>
      </c>
      <c r="N125" s="74">
        <f>K125-M125</f>
        <v>327169.12</v>
      </c>
    </row>
    <row r="126" spans="1:12" ht="45" customHeight="1">
      <c r="A126" s="37">
        <v>66</v>
      </c>
      <c r="B126" s="38" t="s">
        <v>236</v>
      </c>
      <c r="C126" s="40" t="s">
        <v>119</v>
      </c>
      <c r="D126" s="40" t="s">
        <v>604</v>
      </c>
      <c r="E126" s="41" t="s">
        <v>120</v>
      </c>
      <c r="F126" s="50" t="s">
        <v>605</v>
      </c>
      <c r="G126" s="42">
        <v>1410</v>
      </c>
      <c r="H126" s="40" t="s">
        <v>63</v>
      </c>
      <c r="I126" s="100"/>
      <c r="L126" s="74">
        <f>G126-K126</f>
        <v>1410</v>
      </c>
    </row>
    <row r="127" spans="1:12" ht="30" customHeight="1">
      <c r="A127" s="37">
        <v>67</v>
      </c>
      <c r="B127" s="98" t="s">
        <v>606</v>
      </c>
      <c r="C127" s="99" t="s">
        <v>532</v>
      </c>
      <c r="D127" s="40" t="s">
        <v>604</v>
      </c>
      <c r="E127" s="41" t="s">
        <v>113</v>
      </c>
      <c r="F127" s="41">
        <v>7</v>
      </c>
      <c r="G127" s="42">
        <v>3430</v>
      </c>
      <c r="H127" s="40" t="s">
        <v>63</v>
      </c>
      <c r="I127" s="100"/>
      <c r="L127" s="74">
        <f>G127-K127</f>
        <v>3430</v>
      </c>
    </row>
    <row r="128" spans="1:12" ht="30" customHeight="1">
      <c r="A128" s="37">
        <v>68</v>
      </c>
      <c r="B128" s="38" t="s">
        <v>130</v>
      </c>
      <c r="C128" s="40" t="s">
        <v>131</v>
      </c>
      <c r="D128" s="40" t="s">
        <v>604</v>
      </c>
      <c r="E128" s="41" t="s">
        <v>25</v>
      </c>
      <c r="F128" s="50">
        <v>2</v>
      </c>
      <c r="G128" s="42">
        <v>700</v>
      </c>
      <c r="H128" s="40" t="s">
        <v>63</v>
      </c>
      <c r="I128" s="100"/>
      <c r="L128" s="74">
        <f>G128-K128</f>
        <v>700</v>
      </c>
    </row>
    <row r="129" spans="1:12" ht="30" customHeight="1">
      <c r="A129" s="37">
        <v>69</v>
      </c>
      <c r="B129" s="38" t="s">
        <v>130</v>
      </c>
      <c r="C129" s="40" t="s">
        <v>131</v>
      </c>
      <c r="D129" s="40" t="s">
        <v>604</v>
      </c>
      <c r="E129" s="41" t="s">
        <v>25</v>
      </c>
      <c r="F129" s="50">
        <v>1</v>
      </c>
      <c r="G129" s="42">
        <v>280</v>
      </c>
      <c r="H129" s="40" t="s">
        <v>19</v>
      </c>
      <c r="I129" s="100"/>
      <c r="L129" s="74">
        <f>G129-K129</f>
        <v>280</v>
      </c>
    </row>
    <row r="130" spans="1:12" ht="30" customHeight="1">
      <c r="A130" s="37">
        <v>70</v>
      </c>
      <c r="B130" s="38" t="s">
        <v>130</v>
      </c>
      <c r="C130" s="40" t="s">
        <v>131</v>
      </c>
      <c r="D130" s="40" t="s">
        <v>604</v>
      </c>
      <c r="E130" s="41" t="s">
        <v>25</v>
      </c>
      <c r="F130" s="50">
        <v>1</v>
      </c>
      <c r="G130" s="42">
        <v>280</v>
      </c>
      <c r="H130" s="40" t="s">
        <v>132</v>
      </c>
      <c r="I130" s="100"/>
      <c r="L130" s="74">
        <f>G130-K130</f>
        <v>280</v>
      </c>
    </row>
    <row r="131" spans="1:9" ht="18.75" customHeight="1" hidden="1">
      <c r="A131" s="37"/>
      <c r="B131" s="45" t="s">
        <v>607</v>
      </c>
      <c r="C131" s="46"/>
      <c r="D131" s="47"/>
      <c r="E131" s="48"/>
      <c r="F131" s="48"/>
      <c r="G131" s="42">
        <f>SUM(G126:G130)</f>
        <v>6100</v>
      </c>
      <c r="H131" s="51"/>
      <c r="I131" s="100"/>
    </row>
    <row r="132" spans="1:11" ht="30" customHeight="1">
      <c r="A132" s="37">
        <v>71</v>
      </c>
      <c r="B132" s="38" t="s">
        <v>137</v>
      </c>
      <c r="C132" s="52" t="s">
        <v>138</v>
      </c>
      <c r="D132" s="40" t="s">
        <v>608</v>
      </c>
      <c r="E132" s="41" t="s">
        <v>140</v>
      </c>
      <c r="F132" s="53">
        <f>G132/67.76</f>
        <v>57.556080283353005</v>
      </c>
      <c r="G132" s="42">
        <v>3900</v>
      </c>
      <c r="H132" s="40" t="s">
        <v>63</v>
      </c>
      <c r="I132" s="100"/>
      <c r="K132" s="12">
        <f>2300</f>
        <v>2300</v>
      </c>
    </row>
    <row r="133" spans="1:9" ht="25.5" customHeight="1" hidden="1">
      <c r="A133" s="37"/>
      <c r="B133" s="45" t="s">
        <v>609</v>
      </c>
      <c r="C133" s="46"/>
      <c r="D133" s="40"/>
      <c r="E133" s="41"/>
      <c r="F133" s="41"/>
      <c r="G133" s="42">
        <f>SUM(G132)</f>
        <v>3900</v>
      </c>
      <c r="H133" s="51"/>
      <c r="I133" s="100"/>
    </row>
    <row r="134" spans="1:9" ht="30.75" customHeight="1">
      <c r="A134" s="37">
        <v>72</v>
      </c>
      <c r="B134" s="38" t="s">
        <v>485</v>
      </c>
      <c r="C134" s="54" t="s">
        <v>245</v>
      </c>
      <c r="D134" s="40" t="s">
        <v>610</v>
      </c>
      <c r="E134" s="41" t="s">
        <v>110</v>
      </c>
      <c r="F134" s="41">
        <v>3.79</v>
      </c>
      <c r="G134" s="42">
        <v>48.3</v>
      </c>
      <c r="H134" s="40" t="s">
        <v>63</v>
      </c>
      <c r="I134" s="100"/>
    </row>
    <row r="135" spans="1:9" ht="30" customHeight="1">
      <c r="A135" s="37">
        <v>73</v>
      </c>
      <c r="B135" s="38" t="s">
        <v>517</v>
      </c>
      <c r="C135" s="55" t="s">
        <v>518</v>
      </c>
      <c r="D135" s="40" t="s">
        <v>610</v>
      </c>
      <c r="E135" s="41" t="s">
        <v>110</v>
      </c>
      <c r="F135" s="41">
        <v>3.79</v>
      </c>
      <c r="G135" s="42">
        <v>51.7</v>
      </c>
      <c r="H135" s="40" t="s">
        <v>63</v>
      </c>
      <c r="I135" s="100"/>
    </row>
    <row r="136" spans="1:9" ht="18.75" customHeight="1" hidden="1">
      <c r="A136" s="37"/>
      <c r="B136" s="45" t="s">
        <v>611</v>
      </c>
      <c r="C136" s="46"/>
      <c r="D136" s="40"/>
      <c r="E136" s="41"/>
      <c r="F136" s="41"/>
      <c r="G136" s="42">
        <f>SUM(G134:G135)</f>
        <v>100</v>
      </c>
      <c r="H136" s="51"/>
      <c r="I136" s="100"/>
    </row>
    <row r="137" spans="1:10" ht="30" customHeight="1">
      <c r="A137" s="37">
        <v>74</v>
      </c>
      <c r="B137" s="38" t="s">
        <v>142</v>
      </c>
      <c r="C137" s="54" t="s">
        <v>143</v>
      </c>
      <c r="D137" s="40" t="s">
        <v>612</v>
      </c>
      <c r="E137" s="41" t="s">
        <v>145</v>
      </c>
      <c r="F137" s="56">
        <f>G137/4.143</f>
        <v>289.64518464880524</v>
      </c>
      <c r="G137" s="42">
        <v>1200</v>
      </c>
      <c r="H137" s="40" t="s">
        <v>63</v>
      </c>
      <c r="I137" s="100"/>
      <c r="J137" s="12">
        <f>500</f>
        <v>500</v>
      </c>
    </row>
    <row r="138" spans="1:9" ht="18.75" customHeight="1" hidden="1">
      <c r="A138" s="37"/>
      <c r="B138" s="45" t="s">
        <v>613</v>
      </c>
      <c r="C138" s="46"/>
      <c r="D138" s="40"/>
      <c r="E138" s="40"/>
      <c r="F138" s="40"/>
      <c r="G138" s="42">
        <f>SUM(G137)</f>
        <v>1200</v>
      </c>
      <c r="H138" s="51"/>
      <c r="I138" s="100"/>
    </row>
    <row r="139" spans="1:9" ht="22.5" customHeight="1" hidden="1">
      <c r="A139" s="37"/>
      <c r="B139" s="78" t="s">
        <v>685</v>
      </c>
      <c r="C139" s="79"/>
      <c r="D139" s="80"/>
      <c r="E139" s="80"/>
      <c r="F139" s="80"/>
      <c r="G139" s="81">
        <f>G125+G131+G133+G138+G136</f>
        <v>463700</v>
      </c>
      <c r="H139" s="82"/>
      <c r="I139" s="101"/>
    </row>
    <row r="140" spans="1:9" ht="21" customHeight="1" hidden="1">
      <c r="A140" s="102"/>
      <c r="B140" s="103" t="s">
        <v>151</v>
      </c>
      <c r="C140" s="103"/>
      <c r="D140" s="103"/>
      <c r="E140" s="103"/>
      <c r="F140" s="103"/>
      <c r="G140" s="104"/>
      <c r="H140" s="105"/>
      <c r="I140" s="141"/>
    </row>
    <row r="141" spans="1:9" ht="15" hidden="1">
      <c r="A141" s="19"/>
      <c r="B141" s="106" t="s">
        <v>152</v>
      </c>
      <c r="C141" s="107"/>
      <c r="D141" s="108" t="s">
        <v>153</v>
      </c>
      <c r="E141" s="109"/>
      <c r="F141" s="109"/>
      <c r="G141" s="110"/>
      <c r="H141" s="8"/>
      <c r="I141" s="141"/>
    </row>
    <row r="142" spans="1:9" ht="21" customHeight="1" hidden="1">
      <c r="A142" s="19"/>
      <c r="B142" s="111"/>
      <c r="C142" s="9"/>
      <c r="D142" s="112" t="s">
        <v>154</v>
      </c>
      <c r="E142" s="113" t="s">
        <v>155</v>
      </c>
      <c r="F142" s="114"/>
      <c r="G142" s="110"/>
      <c r="H142" s="8"/>
      <c r="I142" s="141"/>
    </row>
    <row r="143" spans="1:9" ht="21" customHeight="1" hidden="1">
      <c r="A143" s="19"/>
      <c r="B143" s="115" t="s">
        <v>156</v>
      </c>
      <c r="C143" s="116"/>
      <c r="D143" s="108" t="s">
        <v>157</v>
      </c>
      <c r="E143" s="109"/>
      <c r="F143" s="109"/>
      <c r="G143" s="110"/>
      <c r="H143" s="8"/>
      <c r="I143" s="141"/>
    </row>
    <row r="144" spans="1:9" ht="21" customHeight="1" hidden="1">
      <c r="A144" s="19"/>
      <c r="B144" s="111"/>
      <c r="C144" s="9"/>
      <c r="D144" s="9"/>
      <c r="E144" s="9"/>
      <c r="F144" s="9"/>
      <c r="G144" s="110"/>
      <c r="H144" s="8"/>
      <c r="I144" s="141"/>
    </row>
    <row r="145" spans="1:9" ht="21" customHeight="1" hidden="1">
      <c r="A145" s="19"/>
      <c r="B145" s="115" t="s">
        <v>158</v>
      </c>
      <c r="C145" s="9"/>
      <c r="D145" s="9"/>
      <c r="E145" s="9"/>
      <c r="F145" s="9"/>
      <c r="G145" s="110"/>
      <c r="H145" s="8"/>
      <c r="I145" s="141"/>
    </row>
    <row r="146" spans="1:9" ht="27.75" customHeight="1" hidden="1">
      <c r="A146" s="19"/>
      <c r="B146" s="117" t="s">
        <v>159</v>
      </c>
      <c r="C146" s="9"/>
      <c r="D146" s="118" t="s">
        <v>160</v>
      </c>
      <c r="E146" s="118"/>
      <c r="F146" s="118"/>
      <c r="G146" s="110"/>
      <c r="H146" s="8"/>
      <c r="I146" s="141"/>
    </row>
    <row r="147" spans="1:9" ht="21" customHeight="1" hidden="1">
      <c r="A147" s="19"/>
      <c r="B147" s="119" t="s">
        <v>486</v>
      </c>
      <c r="C147" s="119"/>
      <c r="D147" s="119"/>
      <c r="E147" s="9"/>
      <c r="F147" s="9"/>
      <c r="G147" s="110"/>
      <c r="H147" s="8"/>
      <c r="I147" s="141"/>
    </row>
    <row r="148" spans="1:9" ht="32.25" customHeight="1" hidden="1">
      <c r="A148" s="102"/>
      <c r="B148" s="120"/>
      <c r="C148" s="120"/>
      <c r="D148" s="121"/>
      <c r="E148" s="122"/>
      <c r="F148" s="122"/>
      <c r="G148" s="123"/>
      <c r="H148" s="121"/>
      <c r="I148" s="70"/>
    </row>
    <row r="149" spans="1:9" ht="65.25" customHeight="1" hidden="1">
      <c r="A149" s="19"/>
      <c r="B149" s="8" t="s">
        <v>0</v>
      </c>
      <c r="C149" s="20"/>
      <c r="D149" s="21"/>
      <c r="E149" s="22"/>
      <c r="F149" s="23" t="s">
        <v>1</v>
      </c>
      <c r="G149" s="23"/>
      <c r="H149" s="21"/>
      <c r="I149" s="70"/>
    </row>
    <row r="150" spans="1:9" ht="45" customHeight="1" hidden="1">
      <c r="A150" s="24" t="s">
        <v>556</v>
      </c>
      <c r="B150" s="24"/>
      <c r="C150" s="24"/>
      <c r="D150" s="24"/>
      <c r="E150" s="24"/>
      <c r="F150" s="24"/>
      <c r="G150" s="24"/>
      <c r="H150" s="24"/>
      <c r="I150" s="24"/>
    </row>
    <row r="151" spans="3:9" ht="16.5" customHeight="1" hidden="1">
      <c r="C151" s="124"/>
      <c r="D151" s="125" t="s">
        <v>4</v>
      </c>
      <c r="E151" s="124"/>
      <c r="F151" s="124"/>
      <c r="H151" s="16"/>
      <c r="I151" s="16"/>
    </row>
    <row r="152" ht="15.75" customHeight="1" hidden="1"/>
    <row r="153" spans="1:9" s="4" customFormat="1" ht="29.25" customHeight="1">
      <c r="A153" s="35" t="s">
        <v>686</v>
      </c>
      <c r="B153" s="126"/>
      <c r="C153" s="126"/>
      <c r="D153" s="126"/>
      <c r="E153" s="126"/>
      <c r="F153" s="126"/>
      <c r="G153" s="126"/>
      <c r="H153" s="126"/>
      <c r="I153" s="126"/>
    </row>
    <row r="154" spans="3:9" ht="12" customHeight="1" hidden="1">
      <c r="C154" s="124"/>
      <c r="D154" s="127" t="s">
        <v>4</v>
      </c>
      <c r="E154" s="124"/>
      <c r="F154" s="124"/>
      <c r="H154" s="16"/>
      <c r="I154" s="16"/>
    </row>
    <row r="155" spans="5:6" ht="5.25" customHeight="1" hidden="1">
      <c r="E155" s="3"/>
      <c r="F155" s="3"/>
    </row>
    <row r="156" spans="1:11" ht="15.75" customHeight="1" hidden="1">
      <c r="A156" s="83" t="s">
        <v>5</v>
      </c>
      <c r="B156" s="27" t="s">
        <v>6</v>
      </c>
      <c r="C156" s="28" t="s">
        <v>7</v>
      </c>
      <c r="D156" s="28" t="s">
        <v>249</v>
      </c>
      <c r="E156" s="28" t="s">
        <v>9</v>
      </c>
      <c r="F156" s="28" t="s">
        <v>10</v>
      </c>
      <c r="G156" s="128" t="s">
        <v>250</v>
      </c>
      <c r="H156" s="28" t="s">
        <v>251</v>
      </c>
      <c r="I156" s="28" t="s">
        <v>13</v>
      </c>
      <c r="J156" s="71"/>
      <c r="K156" s="71"/>
    </row>
    <row r="157" spans="1:9" ht="31.5" customHeight="1" hidden="1">
      <c r="A157" s="84"/>
      <c r="B157" s="30"/>
      <c r="C157" s="31"/>
      <c r="D157" s="31"/>
      <c r="E157" s="31"/>
      <c r="F157" s="31"/>
      <c r="G157" s="129"/>
      <c r="H157" s="31"/>
      <c r="I157" s="31"/>
    </row>
    <row r="158" spans="1:9" ht="45" customHeight="1" hidden="1">
      <c r="A158" s="85"/>
      <c r="B158" s="33"/>
      <c r="C158" s="34"/>
      <c r="D158" s="34"/>
      <c r="E158" s="34"/>
      <c r="F158" s="34"/>
      <c r="G158" s="130"/>
      <c r="H158" s="34"/>
      <c r="I158" s="34"/>
    </row>
    <row r="159" spans="1:9" ht="15" customHeight="1" hidden="1">
      <c r="A159" s="32">
        <v>1</v>
      </c>
      <c r="B159" s="33">
        <v>2</v>
      </c>
      <c r="C159" s="34">
        <v>3</v>
      </c>
      <c r="D159" s="34">
        <v>4</v>
      </c>
      <c r="E159" s="34">
        <v>5</v>
      </c>
      <c r="F159" s="34">
        <v>6</v>
      </c>
      <c r="G159" s="130">
        <v>7</v>
      </c>
      <c r="H159" s="34">
        <v>8</v>
      </c>
      <c r="I159" s="72">
        <v>9</v>
      </c>
    </row>
    <row r="160" spans="1:9" ht="30" customHeight="1">
      <c r="A160" s="37">
        <v>75</v>
      </c>
      <c r="B160" s="131" t="s">
        <v>442</v>
      </c>
      <c r="C160" s="72" t="s">
        <v>16</v>
      </c>
      <c r="D160" s="39" t="s">
        <v>537</v>
      </c>
      <c r="E160" s="72" t="s">
        <v>25</v>
      </c>
      <c r="F160" s="72">
        <v>30</v>
      </c>
      <c r="G160" s="132">
        <v>606.9</v>
      </c>
      <c r="H160" s="133" t="s">
        <v>63</v>
      </c>
      <c r="I160" s="73" t="s">
        <v>253</v>
      </c>
    </row>
    <row r="161" spans="1:9" ht="30" customHeight="1">
      <c r="A161" s="32">
        <v>76</v>
      </c>
      <c r="B161" s="134" t="s">
        <v>557</v>
      </c>
      <c r="C161" s="34" t="s">
        <v>171</v>
      </c>
      <c r="D161" s="43" t="s">
        <v>537</v>
      </c>
      <c r="E161" s="34" t="s">
        <v>25</v>
      </c>
      <c r="F161" s="34">
        <v>14</v>
      </c>
      <c r="G161" s="135">
        <v>266.28</v>
      </c>
      <c r="H161" s="136" t="s">
        <v>63</v>
      </c>
      <c r="I161" s="100"/>
    </row>
    <row r="162" spans="1:13" ht="31.5" customHeight="1">
      <c r="A162" s="37">
        <v>77</v>
      </c>
      <c r="B162" s="38" t="s">
        <v>558</v>
      </c>
      <c r="C162" s="40" t="s">
        <v>27</v>
      </c>
      <c r="D162" s="40" t="s">
        <v>537</v>
      </c>
      <c r="E162" s="41" t="s">
        <v>25</v>
      </c>
      <c r="F162" s="41">
        <v>15</v>
      </c>
      <c r="G162" s="42">
        <v>890.25</v>
      </c>
      <c r="H162" s="136" t="s">
        <v>63</v>
      </c>
      <c r="I162" s="100"/>
      <c r="L162" s="74"/>
      <c r="M162" s="74">
        <f>G162-K162</f>
        <v>890.25</v>
      </c>
    </row>
    <row r="163" spans="1:12" ht="45" customHeight="1">
      <c r="A163" s="37">
        <v>78</v>
      </c>
      <c r="B163" s="99" t="s">
        <v>559</v>
      </c>
      <c r="C163" s="137" t="s">
        <v>544</v>
      </c>
      <c r="D163" s="40" t="s">
        <v>537</v>
      </c>
      <c r="E163" s="138" t="s">
        <v>18</v>
      </c>
      <c r="F163" s="138">
        <v>6</v>
      </c>
      <c r="G163" s="139">
        <v>3024</v>
      </c>
      <c r="H163" s="136" t="s">
        <v>63</v>
      </c>
      <c r="I163" s="100"/>
      <c r="L163" s="74"/>
    </row>
    <row r="164" spans="1:12" ht="30" customHeight="1">
      <c r="A164" s="37">
        <v>79</v>
      </c>
      <c r="B164" s="38" t="s">
        <v>560</v>
      </c>
      <c r="C164" s="43" t="s">
        <v>179</v>
      </c>
      <c r="D164" s="40" t="s">
        <v>537</v>
      </c>
      <c r="E164" s="41" t="s">
        <v>25</v>
      </c>
      <c r="F164" s="41">
        <v>20</v>
      </c>
      <c r="G164" s="42">
        <v>310.4</v>
      </c>
      <c r="H164" s="136" t="s">
        <v>63</v>
      </c>
      <c r="I164" s="100"/>
      <c r="L164" s="74"/>
    </row>
    <row r="165" spans="1:12" ht="60" customHeight="1">
      <c r="A165" s="37">
        <v>80</v>
      </c>
      <c r="B165" s="140" t="s">
        <v>561</v>
      </c>
      <c r="C165" s="43" t="s">
        <v>47</v>
      </c>
      <c r="D165" s="40" t="s">
        <v>537</v>
      </c>
      <c r="E165" s="41" t="s">
        <v>48</v>
      </c>
      <c r="F165" s="41">
        <v>9</v>
      </c>
      <c r="G165" s="42">
        <v>495</v>
      </c>
      <c r="H165" s="136" t="s">
        <v>63</v>
      </c>
      <c r="I165" s="100"/>
      <c r="L165" s="74">
        <f>G165-K165</f>
        <v>495</v>
      </c>
    </row>
    <row r="166" spans="1:9" s="5" customFormat="1" ht="30" customHeight="1">
      <c r="A166" s="37">
        <v>81</v>
      </c>
      <c r="B166" s="38" t="s">
        <v>562</v>
      </c>
      <c r="C166" s="40" t="s">
        <v>16</v>
      </c>
      <c r="D166" s="40" t="s">
        <v>537</v>
      </c>
      <c r="E166" s="41" t="s">
        <v>25</v>
      </c>
      <c r="F166" s="56">
        <v>200</v>
      </c>
      <c r="G166" s="42">
        <v>3000</v>
      </c>
      <c r="H166" s="136" t="s">
        <v>63</v>
      </c>
      <c r="I166" s="100"/>
    </row>
    <row r="167" spans="1:9" s="5" customFormat="1" ht="30" customHeight="1">
      <c r="A167" s="37">
        <v>82</v>
      </c>
      <c r="B167" s="38" t="s">
        <v>563</v>
      </c>
      <c r="C167" s="40" t="s">
        <v>16</v>
      </c>
      <c r="D167" s="40" t="s">
        <v>537</v>
      </c>
      <c r="E167" s="41" t="s">
        <v>18</v>
      </c>
      <c r="F167" s="56">
        <v>13</v>
      </c>
      <c r="G167" s="42">
        <v>2730</v>
      </c>
      <c r="H167" s="136" t="s">
        <v>63</v>
      </c>
      <c r="I167" s="100"/>
    </row>
    <row r="168" spans="1:9" s="5" customFormat="1" ht="30" customHeight="1">
      <c r="A168" s="37">
        <v>83</v>
      </c>
      <c r="B168" s="38" t="s">
        <v>564</v>
      </c>
      <c r="C168" s="40" t="s">
        <v>565</v>
      </c>
      <c r="D168" s="40" t="s">
        <v>537</v>
      </c>
      <c r="E168" s="41" t="s">
        <v>25</v>
      </c>
      <c r="F168" s="56">
        <v>6</v>
      </c>
      <c r="G168" s="42">
        <v>250.98</v>
      </c>
      <c r="H168" s="136" t="s">
        <v>63</v>
      </c>
      <c r="I168" s="100"/>
    </row>
    <row r="169" spans="1:9" s="5" customFormat="1" ht="30" customHeight="1">
      <c r="A169" s="37">
        <v>84</v>
      </c>
      <c r="B169" s="38" t="s">
        <v>566</v>
      </c>
      <c r="C169" s="40" t="s">
        <v>42</v>
      </c>
      <c r="D169" s="40" t="s">
        <v>537</v>
      </c>
      <c r="E169" s="41" t="s">
        <v>25</v>
      </c>
      <c r="F169" s="56">
        <v>15</v>
      </c>
      <c r="G169" s="42">
        <v>635.7</v>
      </c>
      <c r="H169" s="136" t="s">
        <v>63</v>
      </c>
      <c r="I169" s="100"/>
    </row>
    <row r="170" spans="1:9" s="5" customFormat="1" ht="60" customHeight="1">
      <c r="A170" s="37">
        <v>85</v>
      </c>
      <c r="B170" s="38" t="s">
        <v>449</v>
      </c>
      <c r="C170" s="40" t="s">
        <v>21</v>
      </c>
      <c r="D170" s="40" t="s">
        <v>537</v>
      </c>
      <c r="E170" s="41" t="s">
        <v>25</v>
      </c>
      <c r="F170" s="56">
        <v>11</v>
      </c>
      <c r="G170" s="42">
        <v>272.47</v>
      </c>
      <c r="H170" s="136" t="s">
        <v>63</v>
      </c>
      <c r="I170" s="100"/>
    </row>
    <row r="171" spans="1:9" s="5" customFormat="1" ht="30" customHeight="1">
      <c r="A171" s="37">
        <v>86</v>
      </c>
      <c r="B171" s="38" t="s">
        <v>418</v>
      </c>
      <c r="C171" s="40" t="s">
        <v>171</v>
      </c>
      <c r="D171" s="40" t="s">
        <v>537</v>
      </c>
      <c r="E171" s="41" t="s">
        <v>25</v>
      </c>
      <c r="F171" s="56">
        <v>15</v>
      </c>
      <c r="G171" s="42">
        <v>793.95</v>
      </c>
      <c r="H171" s="136" t="s">
        <v>63</v>
      </c>
      <c r="I171" s="100"/>
    </row>
    <row r="172" spans="1:9" s="5" customFormat="1" ht="30" customHeight="1">
      <c r="A172" s="37">
        <v>87</v>
      </c>
      <c r="B172" s="38" t="s">
        <v>351</v>
      </c>
      <c r="C172" s="40" t="s">
        <v>31</v>
      </c>
      <c r="D172" s="40" t="s">
        <v>567</v>
      </c>
      <c r="E172" s="41" t="s">
        <v>22</v>
      </c>
      <c r="F172" s="56">
        <v>8</v>
      </c>
      <c r="G172" s="42">
        <v>210.08</v>
      </c>
      <c r="H172" s="136" t="s">
        <v>63</v>
      </c>
      <c r="I172" s="100"/>
    </row>
    <row r="173" spans="1:9" s="5" customFormat="1" ht="30" customHeight="1">
      <c r="A173" s="37">
        <v>88</v>
      </c>
      <c r="B173" s="38" t="s">
        <v>568</v>
      </c>
      <c r="C173" s="40" t="s">
        <v>36</v>
      </c>
      <c r="D173" s="40" t="s">
        <v>537</v>
      </c>
      <c r="E173" s="41" t="s">
        <v>25</v>
      </c>
      <c r="F173" s="56">
        <v>2</v>
      </c>
      <c r="G173" s="42">
        <v>1092.64</v>
      </c>
      <c r="H173" s="136" t="s">
        <v>63</v>
      </c>
      <c r="I173" s="100"/>
    </row>
    <row r="174" spans="1:9" s="5" customFormat="1" ht="30" customHeight="1">
      <c r="A174" s="37">
        <v>89</v>
      </c>
      <c r="B174" s="38" t="s">
        <v>569</v>
      </c>
      <c r="C174" s="40" t="s">
        <v>36</v>
      </c>
      <c r="D174" s="40" t="s">
        <v>537</v>
      </c>
      <c r="E174" s="41" t="s">
        <v>25</v>
      </c>
      <c r="F174" s="56">
        <v>2</v>
      </c>
      <c r="G174" s="42">
        <v>385.26</v>
      </c>
      <c r="H174" s="136" t="s">
        <v>63</v>
      </c>
      <c r="I174" s="100"/>
    </row>
    <row r="175" spans="1:9" s="5" customFormat="1" ht="30" customHeight="1">
      <c r="A175" s="37">
        <v>90</v>
      </c>
      <c r="B175" s="38" t="s">
        <v>335</v>
      </c>
      <c r="C175" s="40" t="s">
        <v>260</v>
      </c>
      <c r="D175" s="40" t="s">
        <v>537</v>
      </c>
      <c r="E175" s="41" t="s">
        <v>25</v>
      </c>
      <c r="F175" s="56">
        <v>2</v>
      </c>
      <c r="G175" s="42">
        <v>7000</v>
      </c>
      <c r="H175" s="136" t="s">
        <v>63</v>
      </c>
      <c r="I175" s="100"/>
    </row>
    <row r="176" spans="1:9" s="5" customFormat="1" ht="30" customHeight="1">
      <c r="A176" s="37">
        <v>91</v>
      </c>
      <c r="B176" s="38" t="s">
        <v>570</v>
      </c>
      <c r="C176" s="40" t="s">
        <v>36</v>
      </c>
      <c r="D176" s="40" t="s">
        <v>537</v>
      </c>
      <c r="E176" s="41" t="s">
        <v>25</v>
      </c>
      <c r="F176" s="56">
        <v>1</v>
      </c>
      <c r="G176" s="42">
        <v>1650.55</v>
      </c>
      <c r="H176" s="136" t="s">
        <v>63</v>
      </c>
      <c r="I176" s="100"/>
    </row>
    <row r="177" spans="1:9" s="5" customFormat="1" ht="30" customHeight="1">
      <c r="A177" s="37">
        <v>92</v>
      </c>
      <c r="B177" s="38" t="s">
        <v>571</v>
      </c>
      <c r="C177" s="40" t="s">
        <v>179</v>
      </c>
      <c r="D177" s="40" t="s">
        <v>537</v>
      </c>
      <c r="E177" s="41" t="s">
        <v>25</v>
      </c>
      <c r="F177" s="56">
        <v>4</v>
      </c>
      <c r="G177" s="42">
        <v>491.92</v>
      </c>
      <c r="H177" s="136" t="s">
        <v>63</v>
      </c>
      <c r="I177" s="100"/>
    </row>
    <row r="178" spans="1:9" s="5" customFormat="1" ht="30" customHeight="1">
      <c r="A178" s="37">
        <v>93</v>
      </c>
      <c r="B178" s="38" t="s">
        <v>572</v>
      </c>
      <c r="C178" s="40" t="s">
        <v>573</v>
      </c>
      <c r="D178" s="40" t="s">
        <v>537</v>
      </c>
      <c r="E178" s="41" t="s">
        <v>22</v>
      </c>
      <c r="F178" s="56">
        <v>4</v>
      </c>
      <c r="G178" s="42">
        <v>68</v>
      </c>
      <c r="H178" s="136" t="s">
        <v>63</v>
      </c>
      <c r="I178" s="100"/>
    </row>
    <row r="179" spans="1:9" s="5" customFormat="1" ht="45" customHeight="1">
      <c r="A179" s="37">
        <v>94</v>
      </c>
      <c r="B179" s="38" t="s">
        <v>574</v>
      </c>
      <c r="C179" s="40" t="s">
        <v>391</v>
      </c>
      <c r="D179" s="40" t="s">
        <v>537</v>
      </c>
      <c r="E179" s="41" t="s">
        <v>25</v>
      </c>
      <c r="F179" s="56">
        <v>2</v>
      </c>
      <c r="G179" s="42">
        <v>534.02</v>
      </c>
      <c r="H179" s="136" t="s">
        <v>63</v>
      </c>
      <c r="I179" s="100"/>
    </row>
    <row r="180" spans="1:9" s="5" customFormat="1" ht="30" customHeight="1">
      <c r="A180" s="37">
        <v>95</v>
      </c>
      <c r="B180" s="38" t="s">
        <v>575</v>
      </c>
      <c r="C180" s="40" t="s">
        <v>576</v>
      </c>
      <c r="D180" s="40" t="s">
        <v>537</v>
      </c>
      <c r="E180" s="41" t="s">
        <v>22</v>
      </c>
      <c r="F180" s="56">
        <v>10</v>
      </c>
      <c r="G180" s="42">
        <v>1308.3</v>
      </c>
      <c r="H180" s="136" t="s">
        <v>63</v>
      </c>
      <c r="I180" s="100"/>
    </row>
    <row r="181" spans="1:9" s="5" customFormat="1" ht="45" customHeight="1">
      <c r="A181" s="37">
        <v>96</v>
      </c>
      <c r="B181" s="38" t="s">
        <v>577</v>
      </c>
      <c r="C181" s="40" t="s">
        <v>168</v>
      </c>
      <c r="D181" s="40" t="s">
        <v>537</v>
      </c>
      <c r="E181" s="41" t="s">
        <v>313</v>
      </c>
      <c r="F181" s="56">
        <v>20</v>
      </c>
      <c r="G181" s="42">
        <v>1000</v>
      </c>
      <c r="H181" s="136" t="s">
        <v>63</v>
      </c>
      <c r="I181" s="100"/>
    </row>
    <row r="182" spans="1:13" ht="45" customHeight="1">
      <c r="A182" s="37">
        <v>97</v>
      </c>
      <c r="B182" s="38" t="s">
        <v>410</v>
      </c>
      <c r="C182" s="40" t="s">
        <v>52</v>
      </c>
      <c r="D182" s="40" t="s">
        <v>537</v>
      </c>
      <c r="E182" s="41" t="s">
        <v>25</v>
      </c>
      <c r="F182" s="41">
        <v>30</v>
      </c>
      <c r="G182" s="42">
        <v>597.3</v>
      </c>
      <c r="H182" s="136" t="s">
        <v>63</v>
      </c>
      <c r="I182" s="100"/>
      <c r="L182" s="74"/>
      <c r="M182" s="74">
        <f>G182-K182</f>
        <v>597.3</v>
      </c>
    </row>
    <row r="183" spans="1:14" ht="32.25" customHeight="1" hidden="1">
      <c r="A183" s="37"/>
      <c r="B183" s="45" t="s">
        <v>545</v>
      </c>
      <c r="C183" s="46"/>
      <c r="D183" s="47"/>
      <c r="E183" s="48"/>
      <c r="F183" s="48"/>
      <c r="G183" s="42">
        <f>SUM(G160:G182)</f>
        <v>27613.999999999996</v>
      </c>
      <c r="H183" s="49"/>
      <c r="I183" s="100"/>
      <c r="K183" s="74">
        <f>SUM(K160:K182)</f>
        <v>0</v>
      </c>
      <c r="L183" s="74"/>
      <c r="M183" s="74">
        <f>SUM(M160:M182)</f>
        <v>1487.55</v>
      </c>
      <c r="N183" s="74"/>
    </row>
    <row r="184" spans="1:13" ht="32.25" customHeight="1">
      <c r="A184" s="37">
        <v>98</v>
      </c>
      <c r="B184" s="38" t="s">
        <v>235</v>
      </c>
      <c r="C184" s="40" t="s">
        <v>116</v>
      </c>
      <c r="D184" s="40" t="s">
        <v>546</v>
      </c>
      <c r="E184" s="41" t="s">
        <v>113</v>
      </c>
      <c r="F184" s="50" t="s">
        <v>117</v>
      </c>
      <c r="G184" s="42">
        <v>492</v>
      </c>
      <c r="H184" s="40" t="s">
        <v>63</v>
      </c>
      <c r="I184" s="100"/>
      <c r="K184" s="12">
        <f>154</f>
        <v>154</v>
      </c>
      <c r="L184" s="74">
        <f aca="true" t="shared" si="5" ref="L184:L189">G184-K184</f>
        <v>338</v>
      </c>
      <c r="M184" s="74"/>
    </row>
    <row r="185" spans="1:13" ht="32.25" customHeight="1">
      <c r="A185" s="37">
        <v>99</v>
      </c>
      <c r="B185" s="38" t="s">
        <v>433</v>
      </c>
      <c r="C185" s="40" t="s">
        <v>234</v>
      </c>
      <c r="D185" s="40" t="s">
        <v>546</v>
      </c>
      <c r="E185" s="41" t="s">
        <v>113</v>
      </c>
      <c r="F185" s="50" t="s">
        <v>117</v>
      </c>
      <c r="G185" s="42">
        <v>780</v>
      </c>
      <c r="H185" s="40" t="s">
        <v>63</v>
      </c>
      <c r="I185" s="100"/>
      <c r="K185" s="12">
        <f>260</f>
        <v>260</v>
      </c>
      <c r="L185" s="74">
        <f t="shared" si="5"/>
        <v>520</v>
      </c>
      <c r="M185" s="74"/>
    </row>
    <row r="186" spans="1:13" ht="47.25" customHeight="1">
      <c r="A186" s="37">
        <v>100</v>
      </c>
      <c r="B186" s="38" t="s">
        <v>236</v>
      </c>
      <c r="C186" s="40" t="s">
        <v>119</v>
      </c>
      <c r="D186" s="40" t="s">
        <v>546</v>
      </c>
      <c r="E186" s="41" t="s">
        <v>120</v>
      </c>
      <c r="F186" s="41" t="s">
        <v>121</v>
      </c>
      <c r="G186" s="42">
        <v>2378</v>
      </c>
      <c r="H186" s="40" t="s">
        <v>63</v>
      </c>
      <c r="I186" s="100"/>
      <c r="K186" s="12">
        <f>608.5</f>
        <v>608.5</v>
      </c>
      <c r="L186" s="74">
        <f t="shared" si="5"/>
        <v>1769.5</v>
      </c>
      <c r="M186" s="74"/>
    </row>
    <row r="187" spans="1:13" ht="32.25" customHeight="1">
      <c r="A187" s="37">
        <v>101</v>
      </c>
      <c r="B187" s="38" t="s">
        <v>130</v>
      </c>
      <c r="C187" s="40" t="s">
        <v>131</v>
      </c>
      <c r="D187" s="40" t="s">
        <v>546</v>
      </c>
      <c r="E187" s="41" t="s">
        <v>25</v>
      </c>
      <c r="F187" s="41">
        <v>1</v>
      </c>
      <c r="G187" s="42">
        <v>280</v>
      </c>
      <c r="H187" s="40" t="s">
        <v>63</v>
      </c>
      <c r="I187" s="100"/>
      <c r="K187" s="12">
        <v>560</v>
      </c>
      <c r="L187" s="74">
        <f t="shared" si="5"/>
        <v>-280</v>
      </c>
      <c r="M187" s="74"/>
    </row>
    <row r="188" spans="1:13" ht="31.5" customHeight="1">
      <c r="A188" s="37">
        <v>102</v>
      </c>
      <c r="B188" s="38" t="s">
        <v>130</v>
      </c>
      <c r="C188" s="40" t="s">
        <v>131</v>
      </c>
      <c r="D188" s="40" t="s">
        <v>546</v>
      </c>
      <c r="E188" s="41" t="s">
        <v>25</v>
      </c>
      <c r="F188" s="41">
        <v>1</v>
      </c>
      <c r="G188" s="42">
        <v>280</v>
      </c>
      <c r="H188" s="40" t="s">
        <v>19</v>
      </c>
      <c r="I188" s="100"/>
      <c r="L188" s="74">
        <f t="shared" si="5"/>
        <v>280</v>
      </c>
      <c r="M188" s="74"/>
    </row>
    <row r="189" spans="1:13" ht="29.25" customHeight="1">
      <c r="A189" s="37">
        <v>103</v>
      </c>
      <c r="B189" s="38" t="s">
        <v>130</v>
      </c>
      <c r="C189" s="40" t="s">
        <v>131</v>
      </c>
      <c r="D189" s="40" t="s">
        <v>546</v>
      </c>
      <c r="E189" s="41" t="s">
        <v>25</v>
      </c>
      <c r="F189" s="41">
        <v>1</v>
      </c>
      <c r="G189" s="42">
        <v>280</v>
      </c>
      <c r="H189" s="40" t="s">
        <v>132</v>
      </c>
      <c r="I189" s="100"/>
      <c r="L189" s="74">
        <f t="shared" si="5"/>
        <v>280</v>
      </c>
      <c r="M189" s="74"/>
    </row>
    <row r="190" spans="1:12" ht="32.25" customHeight="1" hidden="1">
      <c r="A190" s="37"/>
      <c r="B190" s="45" t="s">
        <v>549</v>
      </c>
      <c r="C190" s="46"/>
      <c r="D190" s="40"/>
      <c r="E190" s="41"/>
      <c r="F190" s="41"/>
      <c r="G190" s="42">
        <f>SUM(G184:G189)</f>
        <v>4490</v>
      </c>
      <c r="H190" s="40"/>
      <c r="I190" s="100"/>
      <c r="K190" s="12">
        <f>SUM(K184:K189)</f>
        <v>1582.5</v>
      </c>
      <c r="L190" s="74"/>
    </row>
    <row r="191" spans="1:9" ht="33.75" customHeight="1">
      <c r="A191" s="37">
        <v>104</v>
      </c>
      <c r="B191" s="38" t="s">
        <v>137</v>
      </c>
      <c r="C191" s="52" t="s">
        <v>138</v>
      </c>
      <c r="D191" s="40" t="s">
        <v>578</v>
      </c>
      <c r="E191" s="41" t="s">
        <v>579</v>
      </c>
      <c r="F191" s="69">
        <f>G191/2878.75</f>
        <v>35.848892748588796</v>
      </c>
      <c r="G191" s="42">
        <v>103200</v>
      </c>
      <c r="H191" s="40" t="s">
        <v>63</v>
      </c>
      <c r="I191" s="100"/>
    </row>
    <row r="192" spans="1:12" ht="32.25" customHeight="1" hidden="1">
      <c r="A192" s="37"/>
      <c r="B192" s="45" t="s">
        <v>580</v>
      </c>
      <c r="C192" s="46"/>
      <c r="D192" s="40"/>
      <c r="E192" s="41"/>
      <c r="F192" s="41"/>
      <c r="G192" s="42">
        <f>G191</f>
        <v>103200</v>
      </c>
      <c r="H192" s="40"/>
      <c r="I192" s="100"/>
      <c r="L192" s="74"/>
    </row>
    <row r="193" spans="1:9" ht="28.5" customHeight="1">
      <c r="A193" s="37">
        <v>105</v>
      </c>
      <c r="B193" s="38" t="s">
        <v>485</v>
      </c>
      <c r="C193" s="54" t="s">
        <v>245</v>
      </c>
      <c r="D193" s="40" t="s">
        <v>581</v>
      </c>
      <c r="E193" s="41" t="s">
        <v>110</v>
      </c>
      <c r="F193" s="53">
        <v>26.54</v>
      </c>
      <c r="G193" s="42">
        <v>337.53</v>
      </c>
      <c r="H193" s="40" t="s">
        <v>63</v>
      </c>
      <c r="I193" s="100"/>
    </row>
    <row r="194" spans="1:9" ht="28.5" customHeight="1">
      <c r="A194" s="37">
        <v>106</v>
      </c>
      <c r="B194" s="38" t="s">
        <v>517</v>
      </c>
      <c r="C194" s="55" t="s">
        <v>518</v>
      </c>
      <c r="D194" s="40" t="s">
        <v>581</v>
      </c>
      <c r="E194" s="41" t="s">
        <v>110</v>
      </c>
      <c r="F194" s="53">
        <v>26.54</v>
      </c>
      <c r="G194" s="42">
        <v>362.47</v>
      </c>
      <c r="H194" s="40" t="s">
        <v>63</v>
      </c>
      <c r="I194" s="100"/>
    </row>
    <row r="195" spans="1:9" ht="32.25" customHeight="1" hidden="1">
      <c r="A195" s="37"/>
      <c r="B195" s="45" t="s">
        <v>582</v>
      </c>
      <c r="C195" s="46"/>
      <c r="D195" s="40"/>
      <c r="E195" s="41"/>
      <c r="F195" s="41"/>
      <c r="G195" s="42">
        <f>SUM(G193:G194)</f>
        <v>700</v>
      </c>
      <c r="H195" s="40"/>
      <c r="I195" s="100"/>
    </row>
    <row r="196" spans="1:11" ht="31.5" customHeight="1">
      <c r="A196" s="37">
        <v>107</v>
      </c>
      <c r="B196" s="38" t="s">
        <v>142</v>
      </c>
      <c r="C196" s="54" t="s">
        <v>143</v>
      </c>
      <c r="D196" s="40" t="s">
        <v>550</v>
      </c>
      <c r="E196" s="41" t="s">
        <v>145</v>
      </c>
      <c r="F196" s="56">
        <f>G196/4.143</f>
        <v>2667.1494086410817</v>
      </c>
      <c r="G196" s="42">
        <v>11050</v>
      </c>
      <c r="H196" s="40" t="s">
        <v>63</v>
      </c>
      <c r="I196" s="100"/>
      <c r="K196" s="12">
        <f>5110.25</f>
        <v>5110.25</v>
      </c>
    </row>
    <row r="197" spans="1:9" ht="21" customHeight="1" hidden="1">
      <c r="A197" s="37"/>
      <c r="B197" s="45" t="s">
        <v>551</v>
      </c>
      <c r="C197" s="46"/>
      <c r="D197" s="40"/>
      <c r="E197" s="41"/>
      <c r="F197" s="41"/>
      <c r="G197" s="42">
        <f>G196</f>
        <v>11050</v>
      </c>
      <c r="H197" s="40"/>
      <c r="I197" s="100"/>
    </row>
    <row r="198" spans="1:9" ht="32.25" customHeight="1" hidden="1">
      <c r="A198" s="37"/>
      <c r="B198" s="142" t="s">
        <v>685</v>
      </c>
      <c r="C198" s="143"/>
      <c r="D198" s="47"/>
      <c r="E198" s="48"/>
      <c r="F198" s="48"/>
      <c r="G198" s="42">
        <f>G183+G190+G195+G197+G192</f>
        <v>147054</v>
      </c>
      <c r="H198" s="47"/>
      <c r="I198" s="101"/>
    </row>
    <row r="199" spans="1:9" ht="21" customHeight="1" hidden="1">
      <c r="A199" s="102"/>
      <c r="B199" s="103" t="s">
        <v>151</v>
      </c>
      <c r="C199" s="103"/>
      <c r="D199" s="103"/>
      <c r="E199" s="103"/>
      <c r="F199" s="103"/>
      <c r="G199" s="104"/>
      <c r="H199" s="105"/>
      <c r="I199" s="141"/>
    </row>
    <row r="200" spans="1:9" ht="15" hidden="1">
      <c r="A200" s="19"/>
      <c r="B200" s="106" t="s">
        <v>152</v>
      </c>
      <c r="C200" s="107"/>
      <c r="D200" s="108" t="s">
        <v>153</v>
      </c>
      <c r="E200" s="109"/>
      <c r="F200" s="109"/>
      <c r="G200" s="110"/>
      <c r="H200" s="8"/>
      <c r="I200" s="141"/>
    </row>
    <row r="201" spans="1:9" ht="21" customHeight="1" hidden="1">
      <c r="A201" s="19"/>
      <c r="B201" s="111"/>
      <c r="C201" s="9"/>
      <c r="D201" s="112" t="s">
        <v>154</v>
      </c>
      <c r="E201" s="113" t="s">
        <v>155</v>
      </c>
      <c r="F201" s="114"/>
      <c r="G201" s="110"/>
      <c r="H201" s="8"/>
      <c r="I201" s="141"/>
    </row>
    <row r="202" spans="1:9" ht="21" customHeight="1" hidden="1">
      <c r="A202" s="19"/>
      <c r="B202" s="115" t="s">
        <v>156</v>
      </c>
      <c r="C202" s="116"/>
      <c r="D202" s="108" t="s">
        <v>157</v>
      </c>
      <c r="E202" s="109"/>
      <c r="F202" s="109"/>
      <c r="G202" s="110"/>
      <c r="H202" s="8"/>
      <c r="I202" s="141"/>
    </row>
    <row r="203" spans="1:9" ht="21" customHeight="1" hidden="1">
      <c r="A203" s="19"/>
      <c r="B203" s="111"/>
      <c r="C203" s="9"/>
      <c r="D203" s="9"/>
      <c r="E203" s="9"/>
      <c r="F203" s="9"/>
      <c r="G203" s="110"/>
      <c r="H203" s="8"/>
      <c r="I203" s="141"/>
    </row>
    <row r="204" spans="1:9" ht="21" customHeight="1" hidden="1">
      <c r="A204" s="19"/>
      <c r="B204" s="115" t="s">
        <v>158</v>
      </c>
      <c r="C204" s="9"/>
      <c r="D204" s="9"/>
      <c r="E204" s="9"/>
      <c r="F204" s="9"/>
      <c r="G204" s="110"/>
      <c r="H204" s="8"/>
      <c r="I204" s="141"/>
    </row>
    <row r="205" spans="1:9" ht="27.75" customHeight="1" hidden="1">
      <c r="A205" s="19"/>
      <c r="B205" s="117" t="s">
        <v>159</v>
      </c>
      <c r="C205" s="9"/>
      <c r="D205" s="118" t="s">
        <v>160</v>
      </c>
      <c r="E205" s="118"/>
      <c r="F205" s="118"/>
      <c r="G205" s="110"/>
      <c r="H205" s="8"/>
      <c r="I205" s="141"/>
    </row>
    <row r="206" spans="1:9" ht="21" customHeight="1" hidden="1">
      <c r="A206" s="19"/>
      <c r="B206" s="119" t="s">
        <v>486</v>
      </c>
      <c r="C206" s="119"/>
      <c r="D206" s="119"/>
      <c r="E206" s="9"/>
      <c r="F206" s="9"/>
      <c r="G206" s="110"/>
      <c r="H206" s="8"/>
      <c r="I206" s="141"/>
    </row>
    <row r="207" spans="1:9" ht="32.25" customHeight="1" hidden="1">
      <c r="A207" s="102"/>
      <c r="B207" s="120"/>
      <c r="C207" s="120"/>
      <c r="D207" s="121"/>
      <c r="E207" s="122"/>
      <c r="F207" s="122"/>
      <c r="G207" s="123"/>
      <c r="H207" s="121"/>
      <c r="I207" s="70"/>
    </row>
    <row r="208" spans="1:9" ht="65.25" customHeight="1" hidden="1">
      <c r="A208" s="19"/>
      <c r="B208" s="8" t="s">
        <v>0</v>
      </c>
      <c r="C208" s="20"/>
      <c r="D208" s="21"/>
      <c r="E208" s="22"/>
      <c r="F208" s="23" t="s">
        <v>1</v>
      </c>
      <c r="G208" s="23"/>
      <c r="H208" s="21"/>
      <c r="I208" s="70"/>
    </row>
    <row r="209" spans="1:9" ht="45" customHeight="1" hidden="1">
      <c r="A209" s="24" t="s">
        <v>536</v>
      </c>
      <c r="B209" s="24"/>
      <c r="C209" s="24"/>
      <c r="D209" s="24"/>
      <c r="E209" s="24"/>
      <c r="F209" s="24"/>
      <c r="G209" s="24"/>
      <c r="H209" s="24"/>
      <c r="I209" s="24"/>
    </row>
    <row r="210" spans="1:9" ht="29.25" customHeight="1">
      <c r="A210" s="35" t="s">
        <v>663</v>
      </c>
      <c r="B210" s="144"/>
      <c r="C210" s="144"/>
      <c r="D210" s="144"/>
      <c r="E210" s="144"/>
      <c r="F210" s="144"/>
      <c r="G210" s="144"/>
      <c r="H210" s="144"/>
      <c r="I210" s="144"/>
    </row>
    <row r="211" spans="3:9" ht="12" customHeight="1" hidden="1">
      <c r="C211" s="145"/>
      <c r="D211" s="60" t="s">
        <v>4</v>
      </c>
      <c r="E211" s="145"/>
      <c r="F211" s="145"/>
      <c r="G211" s="62"/>
      <c r="H211" s="61"/>
      <c r="I211" s="61"/>
    </row>
    <row r="212" spans="5:6" ht="15.75" customHeight="1" hidden="1">
      <c r="E212" s="3"/>
      <c r="F212" s="3"/>
    </row>
    <row r="213" spans="1:11" ht="15.75" customHeight="1" hidden="1">
      <c r="A213" s="83" t="s">
        <v>5</v>
      </c>
      <c r="B213" s="27" t="s">
        <v>6</v>
      </c>
      <c r="C213" s="28" t="s">
        <v>7</v>
      </c>
      <c r="D213" s="63" t="s">
        <v>8</v>
      </c>
      <c r="E213" s="28" t="s">
        <v>9</v>
      </c>
      <c r="F213" s="28" t="s">
        <v>10</v>
      </c>
      <c r="G213" s="64" t="s">
        <v>11</v>
      </c>
      <c r="H213" s="63" t="s">
        <v>12</v>
      </c>
      <c r="I213" s="63" t="s">
        <v>13</v>
      </c>
      <c r="J213" s="71"/>
      <c r="K213" s="71"/>
    </row>
    <row r="214" spans="1:9" ht="31.5" customHeight="1" hidden="1">
      <c r="A214" s="84"/>
      <c r="B214" s="30"/>
      <c r="C214" s="31"/>
      <c r="D214" s="65"/>
      <c r="E214" s="31"/>
      <c r="F214" s="31"/>
      <c r="G214" s="66"/>
      <c r="H214" s="65"/>
      <c r="I214" s="65"/>
    </row>
    <row r="215" spans="1:9" ht="39.75" customHeight="1" hidden="1">
      <c r="A215" s="85"/>
      <c r="B215" s="33"/>
      <c r="C215" s="34"/>
      <c r="D215" s="67"/>
      <c r="E215" s="34"/>
      <c r="F215" s="34"/>
      <c r="G215" s="68"/>
      <c r="H215" s="67"/>
      <c r="I215" s="67"/>
    </row>
    <row r="216" spans="1:9" ht="20.25" customHeight="1" hidden="1">
      <c r="A216" s="32">
        <v>1</v>
      </c>
      <c r="B216" s="33">
        <v>2</v>
      </c>
      <c r="C216" s="34">
        <v>3</v>
      </c>
      <c r="D216" s="67">
        <v>4</v>
      </c>
      <c r="E216" s="34">
        <v>5</v>
      </c>
      <c r="F216" s="34">
        <v>6</v>
      </c>
      <c r="G216" s="68">
        <v>7</v>
      </c>
      <c r="H216" s="67">
        <v>8</v>
      </c>
      <c r="I216" s="76">
        <v>9</v>
      </c>
    </row>
    <row r="217" spans="1:14" ht="30" customHeight="1">
      <c r="A217" s="37">
        <v>108</v>
      </c>
      <c r="B217" s="38" t="s">
        <v>15</v>
      </c>
      <c r="C217" s="39" t="s">
        <v>16</v>
      </c>
      <c r="D217" s="40" t="s">
        <v>537</v>
      </c>
      <c r="E217" s="41" t="s">
        <v>18</v>
      </c>
      <c r="F217" s="41">
        <v>5</v>
      </c>
      <c r="G217" s="42">
        <v>1050</v>
      </c>
      <c r="H217" s="40" t="s">
        <v>63</v>
      </c>
      <c r="I217" s="77" t="s">
        <v>253</v>
      </c>
      <c r="L217" s="74">
        <f>G217-K217</f>
        <v>1050</v>
      </c>
      <c r="M217" s="12">
        <v>4</v>
      </c>
      <c r="N217" s="12">
        <f>550-330</f>
        <v>220</v>
      </c>
    </row>
    <row r="218" spans="1:12" ht="30" customHeight="1">
      <c r="A218" s="37">
        <v>109</v>
      </c>
      <c r="B218" s="38" t="s">
        <v>538</v>
      </c>
      <c r="C218" s="43" t="s">
        <v>16</v>
      </c>
      <c r="D218" s="40" t="s">
        <v>537</v>
      </c>
      <c r="E218" s="41" t="s">
        <v>25</v>
      </c>
      <c r="F218" s="41">
        <v>20</v>
      </c>
      <c r="G218" s="42">
        <v>300</v>
      </c>
      <c r="H218" s="40" t="s">
        <v>63</v>
      </c>
      <c r="I218" s="149"/>
      <c r="L218" s="74"/>
    </row>
    <row r="219" spans="1:12" ht="30" customHeight="1">
      <c r="A219" s="37">
        <v>110</v>
      </c>
      <c r="B219" s="38" t="s">
        <v>351</v>
      </c>
      <c r="C219" s="43" t="s">
        <v>31</v>
      </c>
      <c r="D219" s="40" t="s">
        <v>537</v>
      </c>
      <c r="E219" s="41" t="s">
        <v>22</v>
      </c>
      <c r="F219" s="41">
        <v>2</v>
      </c>
      <c r="G219" s="42">
        <v>52.52</v>
      </c>
      <c r="H219" s="40" t="s">
        <v>63</v>
      </c>
      <c r="I219" s="149"/>
      <c r="L219" s="74"/>
    </row>
    <row r="220" spans="1:12" ht="30" customHeight="1">
      <c r="A220" s="37">
        <v>111</v>
      </c>
      <c r="B220" s="38" t="s">
        <v>539</v>
      </c>
      <c r="C220" s="40" t="s">
        <v>27</v>
      </c>
      <c r="D220" s="40" t="s">
        <v>537</v>
      </c>
      <c r="E220" s="41" t="s">
        <v>22</v>
      </c>
      <c r="F220" s="41">
        <v>1</v>
      </c>
      <c r="G220" s="42">
        <v>175.38</v>
      </c>
      <c r="H220" s="40" t="s">
        <v>63</v>
      </c>
      <c r="I220" s="149"/>
      <c r="L220" s="74"/>
    </row>
    <row r="221" spans="1:12" ht="30" customHeight="1">
      <c r="A221" s="37">
        <v>112</v>
      </c>
      <c r="B221" s="38" t="s">
        <v>540</v>
      </c>
      <c r="C221" s="40" t="s">
        <v>27</v>
      </c>
      <c r="D221" s="40" t="s">
        <v>537</v>
      </c>
      <c r="E221" s="41" t="s">
        <v>25</v>
      </c>
      <c r="F221" s="41">
        <v>1</v>
      </c>
      <c r="G221" s="42">
        <v>59.35</v>
      </c>
      <c r="H221" s="40" t="s">
        <v>63</v>
      </c>
      <c r="I221" s="149"/>
      <c r="L221" s="74">
        <f>G221-K221</f>
        <v>59.35</v>
      </c>
    </row>
    <row r="222" spans="1:12" ht="45" customHeight="1">
      <c r="A222" s="37">
        <v>113</v>
      </c>
      <c r="B222" s="94" t="s">
        <v>541</v>
      </c>
      <c r="C222" s="40" t="s">
        <v>168</v>
      </c>
      <c r="D222" s="40" t="s">
        <v>537</v>
      </c>
      <c r="E222" s="41" t="s">
        <v>25</v>
      </c>
      <c r="F222" s="41">
        <v>5</v>
      </c>
      <c r="G222" s="42">
        <v>427.4</v>
      </c>
      <c r="H222" s="40" t="s">
        <v>63</v>
      </c>
      <c r="I222" s="149"/>
      <c r="L222" s="74"/>
    </row>
    <row r="223" spans="1:12" ht="30" customHeight="1">
      <c r="A223" s="37">
        <v>114</v>
      </c>
      <c r="B223" s="94" t="s">
        <v>418</v>
      </c>
      <c r="C223" s="40" t="s">
        <v>171</v>
      </c>
      <c r="D223" s="40" t="s">
        <v>537</v>
      </c>
      <c r="E223" s="41" t="s">
        <v>25</v>
      </c>
      <c r="F223" s="41">
        <v>6</v>
      </c>
      <c r="G223" s="42">
        <v>317.94</v>
      </c>
      <c r="H223" s="40" t="s">
        <v>63</v>
      </c>
      <c r="I223" s="149"/>
      <c r="L223" s="74"/>
    </row>
    <row r="224" spans="1:12" ht="30" customHeight="1">
      <c r="A224" s="37">
        <v>115</v>
      </c>
      <c r="B224" s="94" t="s">
        <v>542</v>
      </c>
      <c r="C224" s="40" t="s">
        <v>24</v>
      </c>
      <c r="D224" s="40" t="s">
        <v>537</v>
      </c>
      <c r="E224" s="41" t="s">
        <v>25</v>
      </c>
      <c r="F224" s="41">
        <v>2</v>
      </c>
      <c r="G224" s="42">
        <v>450.28</v>
      </c>
      <c r="H224" s="40" t="s">
        <v>63</v>
      </c>
      <c r="I224" s="149"/>
      <c r="L224" s="74"/>
    </row>
    <row r="225" spans="1:12" ht="30" customHeight="1">
      <c r="A225" s="37">
        <v>116</v>
      </c>
      <c r="B225" s="94" t="s">
        <v>23</v>
      </c>
      <c r="C225" s="40" t="s">
        <v>24</v>
      </c>
      <c r="D225" s="40" t="s">
        <v>537</v>
      </c>
      <c r="E225" s="41" t="s">
        <v>25</v>
      </c>
      <c r="F225" s="41">
        <v>2</v>
      </c>
      <c r="G225" s="42">
        <v>348.58</v>
      </c>
      <c r="H225" s="40" t="s">
        <v>63</v>
      </c>
      <c r="I225" s="149"/>
      <c r="L225" s="74"/>
    </row>
    <row r="226" spans="1:12" ht="30" customHeight="1">
      <c r="A226" s="37">
        <v>117</v>
      </c>
      <c r="B226" s="94" t="s">
        <v>51</v>
      </c>
      <c r="C226" s="40" t="s">
        <v>52</v>
      </c>
      <c r="D226" s="40" t="s">
        <v>537</v>
      </c>
      <c r="E226" s="41" t="s">
        <v>25</v>
      </c>
      <c r="F226" s="41">
        <v>5</v>
      </c>
      <c r="G226" s="146">
        <v>99.55</v>
      </c>
      <c r="H226" s="40" t="s">
        <v>63</v>
      </c>
      <c r="I226" s="149"/>
      <c r="L226" s="74"/>
    </row>
    <row r="227" spans="1:12" ht="45" customHeight="1">
      <c r="A227" s="37">
        <v>118</v>
      </c>
      <c r="B227" s="94" t="s">
        <v>543</v>
      </c>
      <c r="C227" s="43" t="s">
        <v>544</v>
      </c>
      <c r="D227" s="40" t="s">
        <v>537</v>
      </c>
      <c r="E227" s="41" t="s">
        <v>18</v>
      </c>
      <c r="F227" s="41">
        <v>1</v>
      </c>
      <c r="G227" s="42">
        <v>505</v>
      </c>
      <c r="H227" s="40" t="s">
        <v>63</v>
      </c>
      <c r="I227" s="149"/>
      <c r="L227" s="74"/>
    </row>
    <row r="228" spans="1:12" s="2" customFormat="1" ht="30" customHeight="1" hidden="1">
      <c r="A228" s="44"/>
      <c r="B228" s="45" t="s">
        <v>545</v>
      </c>
      <c r="C228" s="46"/>
      <c r="D228" s="47"/>
      <c r="E228" s="48"/>
      <c r="F228" s="48"/>
      <c r="G228" s="42">
        <f>SUM(G217:G227)</f>
        <v>3786</v>
      </c>
      <c r="H228" s="47"/>
      <c r="I228" s="149"/>
      <c r="K228" s="74">
        <f>SUM(K217:K227)</f>
        <v>0</v>
      </c>
      <c r="L228" s="74">
        <f>SUM(L217:L227)</f>
        <v>1109.35</v>
      </c>
    </row>
    <row r="229" spans="1:12" ht="30" customHeight="1">
      <c r="A229" s="37">
        <v>119</v>
      </c>
      <c r="B229" s="38" t="s">
        <v>235</v>
      </c>
      <c r="C229" s="40" t="s">
        <v>116</v>
      </c>
      <c r="D229" s="40" t="s">
        <v>546</v>
      </c>
      <c r="E229" s="41" t="s">
        <v>113</v>
      </c>
      <c r="F229" s="50" t="s">
        <v>117</v>
      </c>
      <c r="G229" s="42">
        <v>318</v>
      </c>
      <c r="H229" s="40" t="s">
        <v>63</v>
      </c>
      <c r="I229" s="149"/>
      <c r="K229" s="12">
        <f>99</f>
        <v>99</v>
      </c>
      <c r="L229" s="74">
        <f>G229-K229</f>
        <v>219</v>
      </c>
    </row>
    <row r="230" spans="1:12" ht="30" customHeight="1">
      <c r="A230" s="37">
        <v>120</v>
      </c>
      <c r="B230" s="38" t="s">
        <v>433</v>
      </c>
      <c r="C230" s="40" t="s">
        <v>234</v>
      </c>
      <c r="D230" s="40" t="s">
        <v>546</v>
      </c>
      <c r="E230" s="41" t="s">
        <v>113</v>
      </c>
      <c r="F230" s="50" t="s">
        <v>117</v>
      </c>
      <c r="G230" s="42">
        <v>3780</v>
      </c>
      <c r="H230" s="40" t="s">
        <v>63</v>
      </c>
      <c r="I230" s="149"/>
      <c r="K230" s="12">
        <f>1260</f>
        <v>1260</v>
      </c>
      <c r="L230" s="74">
        <f>G230-K230</f>
        <v>2520</v>
      </c>
    </row>
    <row r="231" spans="1:12" ht="43.5" customHeight="1">
      <c r="A231" s="37">
        <v>121</v>
      </c>
      <c r="B231" s="38" t="s">
        <v>236</v>
      </c>
      <c r="C231" s="40" t="s">
        <v>119</v>
      </c>
      <c r="D231" s="40" t="s">
        <v>546</v>
      </c>
      <c r="E231" s="41" t="s">
        <v>120</v>
      </c>
      <c r="F231" s="41" t="s">
        <v>121</v>
      </c>
      <c r="G231" s="42">
        <v>864.98</v>
      </c>
      <c r="H231" s="40" t="s">
        <v>63</v>
      </c>
      <c r="I231" s="149"/>
      <c r="K231" s="12">
        <f>260.68</f>
        <v>260.68</v>
      </c>
      <c r="L231" s="74">
        <f>G231-K231</f>
        <v>604.3</v>
      </c>
    </row>
    <row r="232" spans="1:12" ht="30" customHeight="1">
      <c r="A232" s="37">
        <v>122</v>
      </c>
      <c r="B232" s="38" t="s">
        <v>130</v>
      </c>
      <c r="C232" s="40" t="s">
        <v>131</v>
      </c>
      <c r="D232" s="40" t="s">
        <v>546</v>
      </c>
      <c r="E232" s="41" t="s">
        <v>113</v>
      </c>
      <c r="F232" s="41">
        <v>3</v>
      </c>
      <c r="G232" s="42">
        <v>840</v>
      </c>
      <c r="H232" s="40" t="s">
        <v>19</v>
      </c>
      <c r="I232" s="149"/>
      <c r="K232" s="12">
        <f>50</f>
        <v>50</v>
      </c>
      <c r="L232" s="74">
        <f>G232-K232</f>
        <v>790</v>
      </c>
    </row>
    <row r="233" spans="1:12" ht="30" customHeight="1">
      <c r="A233" s="37">
        <v>123</v>
      </c>
      <c r="B233" s="38" t="s">
        <v>547</v>
      </c>
      <c r="C233" s="40" t="s">
        <v>548</v>
      </c>
      <c r="D233" s="40" t="s">
        <v>546</v>
      </c>
      <c r="E233" s="41" t="s">
        <v>113</v>
      </c>
      <c r="F233" s="41">
        <v>3</v>
      </c>
      <c r="G233" s="42">
        <v>1207.02</v>
      </c>
      <c r="H233" s="40" t="s">
        <v>63</v>
      </c>
      <c r="I233" s="149"/>
      <c r="K233" s="12">
        <f>50</f>
        <v>50</v>
      </c>
      <c r="L233" s="74">
        <f>G233-K233</f>
        <v>1157.02</v>
      </c>
    </row>
    <row r="234" spans="1:12" ht="30" customHeight="1" hidden="1">
      <c r="A234" s="37"/>
      <c r="B234" s="45" t="s">
        <v>549</v>
      </c>
      <c r="C234" s="46"/>
      <c r="D234" s="47"/>
      <c r="E234" s="48"/>
      <c r="F234" s="48"/>
      <c r="G234" s="42">
        <f>SUM(G229:G233)</f>
        <v>7010</v>
      </c>
      <c r="H234" s="47"/>
      <c r="I234" s="149"/>
      <c r="K234" s="74">
        <f>SUM(K229:K233)</f>
        <v>1719.68</v>
      </c>
      <c r="L234" s="74">
        <f>SUM(L229:L233)</f>
        <v>5290.32</v>
      </c>
    </row>
    <row r="235" spans="1:11" ht="30" customHeight="1">
      <c r="A235" s="37">
        <v>124</v>
      </c>
      <c r="B235" s="38" t="s">
        <v>142</v>
      </c>
      <c r="C235" s="54" t="s">
        <v>143</v>
      </c>
      <c r="D235" s="40" t="s">
        <v>550</v>
      </c>
      <c r="E235" s="41" t="s">
        <v>145</v>
      </c>
      <c r="F235" s="56">
        <f>G235/4.143</f>
        <v>108.61694424330196</v>
      </c>
      <c r="G235" s="42">
        <v>450</v>
      </c>
      <c r="H235" s="40" t="s">
        <v>63</v>
      </c>
      <c r="I235" s="149"/>
      <c r="K235" s="12">
        <f>165.72</f>
        <v>165.72</v>
      </c>
    </row>
    <row r="236" spans="1:9" ht="30" customHeight="1" hidden="1">
      <c r="A236" s="37"/>
      <c r="B236" s="45" t="s">
        <v>551</v>
      </c>
      <c r="C236" s="46"/>
      <c r="D236" s="40"/>
      <c r="E236" s="41"/>
      <c r="F236" s="41"/>
      <c r="G236" s="42">
        <f>SUM(G235)</f>
        <v>450</v>
      </c>
      <c r="H236" s="40"/>
      <c r="I236" s="149"/>
    </row>
    <row r="237" spans="1:9" ht="30" customHeight="1">
      <c r="A237" s="37">
        <v>125</v>
      </c>
      <c r="B237" s="38" t="s">
        <v>552</v>
      </c>
      <c r="C237" s="52" t="s">
        <v>553</v>
      </c>
      <c r="D237" s="40" t="s">
        <v>554</v>
      </c>
      <c r="E237" s="41" t="s">
        <v>110</v>
      </c>
      <c r="F237" s="56">
        <f>G237/13168*1000</f>
        <v>1055.5893074119076</v>
      </c>
      <c r="G237" s="42">
        <v>13900</v>
      </c>
      <c r="H237" s="40" t="s">
        <v>63</v>
      </c>
      <c r="I237" s="149"/>
    </row>
    <row r="238" spans="1:9" ht="20.25" customHeight="1" hidden="1">
      <c r="A238" s="37"/>
      <c r="B238" s="45" t="s">
        <v>555</v>
      </c>
      <c r="C238" s="46"/>
      <c r="D238" s="40"/>
      <c r="E238" s="41"/>
      <c r="F238" s="41"/>
      <c r="G238" s="42">
        <f>SUM(G237)</f>
        <v>13900</v>
      </c>
      <c r="H238" s="40"/>
      <c r="I238" s="149"/>
    </row>
    <row r="239" spans="1:9" ht="32.25" customHeight="1" hidden="1">
      <c r="A239" s="37"/>
      <c r="B239" s="78" t="s">
        <v>685</v>
      </c>
      <c r="C239" s="79"/>
      <c r="D239" s="80"/>
      <c r="E239" s="147"/>
      <c r="F239" s="147"/>
      <c r="G239" s="81">
        <f>G228+G234+G236+G238</f>
        <v>25146</v>
      </c>
      <c r="H239" s="80"/>
      <c r="I239" s="150"/>
    </row>
    <row r="240" spans="1:9" ht="21" customHeight="1" hidden="1">
      <c r="A240" s="102"/>
      <c r="B240" s="103" t="s">
        <v>151</v>
      </c>
      <c r="C240" s="103"/>
      <c r="D240" s="103"/>
      <c r="E240" s="103"/>
      <c r="F240" s="103"/>
      <c r="G240" s="104"/>
      <c r="H240" s="105"/>
      <c r="I240" s="141"/>
    </row>
    <row r="241" spans="1:9" ht="15" hidden="1">
      <c r="A241" s="19"/>
      <c r="B241" s="106" t="s">
        <v>152</v>
      </c>
      <c r="C241" s="107"/>
      <c r="D241" s="108" t="s">
        <v>153</v>
      </c>
      <c r="E241" s="109"/>
      <c r="F241" s="109"/>
      <c r="G241" s="110"/>
      <c r="H241" s="8"/>
      <c r="I241" s="141"/>
    </row>
    <row r="242" spans="1:9" ht="21" customHeight="1" hidden="1">
      <c r="A242" s="19"/>
      <c r="B242" s="111"/>
      <c r="C242" s="9"/>
      <c r="D242" s="112" t="s">
        <v>154</v>
      </c>
      <c r="E242" s="113" t="s">
        <v>155</v>
      </c>
      <c r="F242" s="114"/>
      <c r="G242" s="110"/>
      <c r="H242" s="8"/>
      <c r="I242" s="141"/>
    </row>
    <row r="243" spans="1:9" ht="21" customHeight="1" hidden="1">
      <c r="A243" s="19"/>
      <c r="B243" s="115" t="s">
        <v>156</v>
      </c>
      <c r="C243" s="116"/>
      <c r="D243" s="108" t="s">
        <v>157</v>
      </c>
      <c r="E243" s="109"/>
      <c r="F243" s="109"/>
      <c r="G243" s="110"/>
      <c r="H243" s="8"/>
      <c r="I243" s="141"/>
    </row>
    <row r="244" spans="1:9" ht="21" customHeight="1" hidden="1">
      <c r="A244" s="19"/>
      <c r="B244" s="111"/>
      <c r="C244" s="9"/>
      <c r="D244" s="9"/>
      <c r="E244" s="9"/>
      <c r="F244" s="9"/>
      <c r="G244" s="110"/>
      <c r="H244" s="8"/>
      <c r="I244" s="141"/>
    </row>
    <row r="245" spans="1:9" ht="21" customHeight="1" hidden="1">
      <c r="A245" s="19"/>
      <c r="B245" s="115" t="s">
        <v>158</v>
      </c>
      <c r="C245" s="9"/>
      <c r="D245" s="9"/>
      <c r="E245" s="9"/>
      <c r="F245" s="9"/>
      <c r="G245" s="110"/>
      <c r="H245" s="8"/>
      <c r="I245" s="141"/>
    </row>
    <row r="246" spans="1:9" ht="27.75" customHeight="1" hidden="1">
      <c r="A246" s="19"/>
      <c r="B246" s="117" t="s">
        <v>159</v>
      </c>
      <c r="C246" s="9"/>
      <c r="D246" s="118" t="s">
        <v>160</v>
      </c>
      <c r="E246" s="118"/>
      <c r="F246" s="118"/>
      <c r="G246" s="110"/>
      <c r="H246" s="8"/>
      <c r="I246" s="141"/>
    </row>
    <row r="247" spans="1:9" ht="21" customHeight="1" hidden="1">
      <c r="A247" s="19"/>
      <c r="B247" s="119" t="s">
        <v>486</v>
      </c>
      <c r="C247" s="119"/>
      <c r="D247" s="119"/>
      <c r="E247" s="9"/>
      <c r="F247" s="9"/>
      <c r="G247" s="110"/>
      <c r="H247" s="8"/>
      <c r="I247" s="141"/>
    </row>
    <row r="248" spans="1:9" ht="32.25" customHeight="1" hidden="1">
      <c r="A248" s="102"/>
      <c r="B248" s="120"/>
      <c r="C248" s="120"/>
      <c r="D248" s="121"/>
      <c r="E248" s="122"/>
      <c r="F248" s="122"/>
      <c r="G248" s="123"/>
      <c r="H248" s="121"/>
      <c r="I248" s="70"/>
    </row>
    <row r="249" spans="1:9" ht="32.25" customHeight="1" hidden="1">
      <c r="A249" s="102"/>
      <c r="B249" s="120"/>
      <c r="C249" s="120"/>
      <c r="D249" s="121"/>
      <c r="E249" s="122"/>
      <c r="F249" s="122"/>
      <c r="G249" s="123"/>
      <c r="H249" s="121"/>
      <c r="I249" s="70"/>
    </row>
    <row r="250" spans="1:9" ht="65.25" customHeight="1" hidden="1">
      <c r="A250" s="19"/>
      <c r="B250" s="8" t="s">
        <v>0</v>
      </c>
      <c r="C250" s="20"/>
      <c r="D250" s="21"/>
      <c r="E250" s="22"/>
      <c r="F250" s="23" t="s">
        <v>1</v>
      </c>
      <c r="G250" s="23"/>
      <c r="H250" s="21"/>
      <c r="I250" s="70"/>
    </row>
    <row r="251" spans="1:9" ht="45" customHeight="1" hidden="1">
      <c r="A251" s="24" t="s">
        <v>519</v>
      </c>
      <c r="B251" s="24"/>
      <c r="C251" s="24"/>
      <c r="D251" s="24"/>
      <c r="E251" s="24"/>
      <c r="F251" s="24"/>
      <c r="G251" s="24"/>
      <c r="H251" s="24"/>
      <c r="I251" s="24"/>
    </row>
    <row r="252" spans="1:9" ht="30" customHeight="1">
      <c r="A252" s="148" t="s">
        <v>664</v>
      </c>
      <c r="B252" s="5"/>
      <c r="C252" s="5"/>
      <c r="D252" s="5"/>
      <c r="E252" s="5"/>
      <c r="F252" s="5"/>
      <c r="G252" s="5"/>
      <c r="H252" s="5"/>
      <c r="I252" s="5"/>
    </row>
    <row r="253" spans="3:9" ht="16.5" customHeight="1" hidden="1">
      <c r="C253" s="124"/>
      <c r="D253" s="125" t="s">
        <v>4</v>
      </c>
      <c r="E253" s="124"/>
      <c r="F253" s="124"/>
      <c r="H253" s="16"/>
      <c r="I253" s="16"/>
    </row>
    <row r="254" ht="15.75" customHeight="1" hidden="1"/>
    <row r="255" spans="1:11" ht="15.75" customHeight="1" hidden="1">
      <c r="A255" s="26" t="s">
        <v>5</v>
      </c>
      <c r="B255" s="27" t="s">
        <v>6</v>
      </c>
      <c r="C255" s="28" t="s">
        <v>7</v>
      </c>
      <c r="D255" s="28" t="s">
        <v>249</v>
      </c>
      <c r="E255" s="28" t="s">
        <v>9</v>
      </c>
      <c r="F255" s="28" t="s">
        <v>10</v>
      </c>
      <c r="G255" s="128" t="s">
        <v>250</v>
      </c>
      <c r="H255" s="28" t="s">
        <v>251</v>
      </c>
      <c r="I255" s="28" t="s">
        <v>13</v>
      </c>
      <c r="J255" s="71"/>
      <c r="K255" s="71"/>
    </row>
    <row r="256" spans="1:9" ht="31.5" customHeight="1" hidden="1">
      <c r="A256" s="29"/>
      <c r="B256" s="30"/>
      <c r="C256" s="31"/>
      <c r="D256" s="31"/>
      <c r="E256" s="31"/>
      <c r="F256" s="31"/>
      <c r="G256" s="129"/>
      <c r="H256" s="31"/>
      <c r="I256" s="31"/>
    </row>
    <row r="257" spans="1:9" ht="67.5" customHeight="1" hidden="1">
      <c r="A257" s="32"/>
      <c r="B257" s="33"/>
      <c r="C257" s="34"/>
      <c r="D257" s="34"/>
      <c r="E257" s="34"/>
      <c r="F257" s="34"/>
      <c r="G257" s="130"/>
      <c r="H257" s="34"/>
      <c r="I257" s="34"/>
    </row>
    <row r="258" spans="1:15" ht="20.25" customHeight="1" hidden="1">
      <c r="A258" s="32">
        <v>1</v>
      </c>
      <c r="B258" s="33">
        <v>2</v>
      </c>
      <c r="C258" s="34">
        <v>3</v>
      </c>
      <c r="D258" s="34">
        <v>4</v>
      </c>
      <c r="E258" s="34">
        <v>5</v>
      </c>
      <c r="F258" s="34">
        <v>6</v>
      </c>
      <c r="G258" s="130">
        <v>7</v>
      </c>
      <c r="H258" s="34">
        <v>8</v>
      </c>
      <c r="I258" s="72">
        <v>9</v>
      </c>
      <c r="O258" s="12" t="s">
        <v>520</v>
      </c>
    </row>
    <row r="259" spans="1:12" s="5" customFormat="1" ht="60" customHeight="1">
      <c r="A259" s="37">
        <v>126</v>
      </c>
      <c r="B259" s="38" t="s">
        <v>521</v>
      </c>
      <c r="C259" s="133" t="s">
        <v>21</v>
      </c>
      <c r="D259" s="40" t="s">
        <v>17</v>
      </c>
      <c r="E259" s="41" t="s">
        <v>25</v>
      </c>
      <c r="F259" s="41">
        <v>5</v>
      </c>
      <c r="G259" s="42">
        <v>1846.8</v>
      </c>
      <c r="H259" s="40" t="s">
        <v>19</v>
      </c>
      <c r="I259" s="73" t="s">
        <v>253</v>
      </c>
      <c r="L259" s="165"/>
    </row>
    <row r="260" spans="1:13" ht="30" customHeight="1">
      <c r="A260" s="37">
        <v>127</v>
      </c>
      <c r="B260" s="38" t="s">
        <v>15</v>
      </c>
      <c r="C260" s="40" t="s">
        <v>16</v>
      </c>
      <c r="D260" s="40" t="s">
        <v>17</v>
      </c>
      <c r="E260" s="41" t="s">
        <v>18</v>
      </c>
      <c r="F260" s="41">
        <v>13</v>
      </c>
      <c r="G260" s="42">
        <v>2730</v>
      </c>
      <c r="H260" s="40" t="s">
        <v>19</v>
      </c>
      <c r="I260" s="100"/>
      <c r="L260" s="74">
        <f>F260-J260</f>
        <v>13</v>
      </c>
      <c r="M260" s="74">
        <f>G260-K260</f>
        <v>2730</v>
      </c>
    </row>
    <row r="261" spans="1:12" ht="30" customHeight="1">
      <c r="A261" s="37">
        <v>128</v>
      </c>
      <c r="B261" s="94" t="s">
        <v>522</v>
      </c>
      <c r="C261" s="151" t="s">
        <v>171</v>
      </c>
      <c r="D261" s="40" t="s">
        <v>17</v>
      </c>
      <c r="E261" s="152" t="s">
        <v>523</v>
      </c>
      <c r="F261" s="41">
        <v>3</v>
      </c>
      <c r="G261" s="42">
        <v>192</v>
      </c>
      <c r="H261" s="40" t="s">
        <v>19</v>
      </c>
      <c r="I261" s="100"/>
      <c r="L261" s="74"/>
    </row>
    <row r="262" spans="1:12" ht="30" customHeight="1">
      <c r="A262" s="37">
        <v>129</v>
      </c>
      <c r="B262" s="94" t="s">
        <v>23</v>
      </c>
      <c r="C262" s="151" t="s">
        <v>24</v>
      </c>
      <c r="D262" s="40" t="s">
        <v>17</v>
      </c>
      <c r="E262" s="152" t="s">
        <v>25</v>
      </c>
      <c r="F262" s="41">
        <v>3</v>
      </c>
      <c r="G262" s="42">
        <v>523.17</v>
      </c>
      <c r="H262" s="40" t="s">
        <v>19</v>
      </c>
      <c r="I262" s="100"/>
      <c r="L262" s="74"/>
    </row>
    <row r="263" spans="1:12" ht="30" customHeight="1">
      <c r="A263" s="37">
        <v>130</v>
      </c>
      <c r="B263" s="94" t="s">
        <v>524</v>
      </c>
      <c r="C263" s="153" t="s">
        <v>27</v>
      </c>
      <c r="D263" s="40" t="s">
        <v>17</v>
      </c>
      <c r="E263" s="152" t="s">
        <v>25</v>
      </c>
      <c r="F263" s="41">
        <v>18</v>
      </c>
      <c r="G263" s="42">
        <v>1068.3</v>
      </c>
      <c r="H263" s="40" t="s">
        <v>19</v>
      </c>
      <c r="I263" s="100"/>
      <c r="L263" s="74"/>
    </row>
    <row r="264" spans="1:12" ht="45" customHeight="1">
      <c r="A264" s="37">
        <v>131</v>
      </c>
      <c r="B264" s="94" t="s">
        <v>525</v>
      </c>
      <c r="C264" s="151" t="s">
        <v>27</v>
      </c>
      <c r="D264" s="40" t="s">
        <v>17</v>
      </c>
      <c r="E264" s="152" t="s">
        <v>22</v>
      </c>
      <c r="F264" s="41">
        <v>15</v>
      </c>
      <c r="G264" s="42">
        <v>2645.7</v>
      </c>
      <c r="H264" s="40" t="s">
        <v>19</v>
      </c>
      <c r="I264" s="100"/>
      <c r="L264" s="74"/>
    </row>
    <row r="265" spans="1:12" ht="29.25" customHeight="1">
      <c r="A265" s="37">
        <v>132</v>
      </c>
      <c r="B265" s="94" t="s">
        <v>526</v>
      </c>
      <c r="C265" s="43" t="s">
        <v>16</v>
      </c>
      <c r="D265" s="40" t="s">
        <v>17</v>
      </c>
      <c r="E265" s="41" t="s">
        <v>25</v>
      </c>
      <c r="F265" s="41">
        <v>51</v>
      </c>
      <c r="G265" s="42">
        <v>1031.73</v>
      </c>
      <c r="H265" s="40" t="s">
        <v>19</v>
      </c>
      <c r="I265" s="100"/>
      <c r="L265" s="74"/>
    </row>
    <row r="266" spans="1:12" ht="45" customHeight="1">
      <c r="A266" s="37">
        <v>133</v>
      </c>
      <c r="B266" s="94" t="s">
        <v>51</v>
      </c>
      <c r="C266" s="43" t="s">
        <v>52</v>
      </c>
      <c r="D266" s="40" t="s">
        <v>17</v>
      </c>
      <c r="E266" s="41" t="s">
        <v>25</v>
      </c>
      <c r="F266" s="41">
        <v>60</v>
      </c>
      <c r="G266" s="42">
        <v>1194.6</v>
      </c>
      <c r="H266" s="40" t="s">
        <v>19</v>
      </c>
      <c r="I266" s="100"/>
      <c r="L266" s="74"/>
    </row>
    <row r="267" spans="1:12" ht="60" customHeight="1">
      <c r="A267" s="37">
        <v>134</v>
      </c>
      <c r="B267" s="154" t="s">
        <v>527</v>
      </c>
      <c r="C267" s="43" t="s">
        <v>387</v>
      </c>
      <c r="D267" s="40" t="s">
        <v>17</v>
      </c>
      <c r="E267" s="41" t="s">
        <v>25</v>
      </c>
      <c r="F267" s="41">
        <v>750</v>
      </c>
      <c r="G267" s="42">
        <v>17002.5</v>
      </c>
      <c r="H267" s="40" t="s">
        <v>19</v>
      </c>
      <c r="I267" s="100"/>
      <c r="L267" s="74"/>
    </row>
    <row r="268" spans="1:12" ht="45" customHeight="1">
      <c r="A268" s="37">
        <v>135</v>
      </c>
      <c r="B268" s="94" t="s">
        <v>466</v>
      </c>
      <c r="C268" s="43" t="s">
        <v>204</v>
      </c>
      <c r="D268" s="40" t="s">
        <v>17</v>
      </c>
      <c r="E268" s="41" t="s">
        <v>528</v>
      </c>
      <c r="F268" s="41">
        <v>31</v>
      </c>
      <c r="G268" s="42">
        <v>71415</v>
      </c>
      <c r="H268" s="40" t="s">
        <v>19</v>
      </c>
      <c r="I268" s="100"/>
      <c r="L268" s="74"/>
    </row>
    <row r="269" spans="1:12" ht="30" customHeight="1">
      <c r="A269" s="37">
        <v>136</v>
      </c>
      <c r="B269" s="38" t="s">
        <v>57</v>
      </c>
      <c r="C269" s="40" t="s">
        <v>58</v>
      </c>
      <c r="D269" s="40" t="s">
        <v>17</v>
      </c>
      <c r="E269" s="41" t="s">
        <v>25</v>
      </c>
      <c r="F269" s="41">
        <v>1</v>
      </c>
      <c r="G269" s="42">
        <v>2500.2</v>
      </c>
      <c r="H269" s="155" t="s">
        <v>19</v>
      </c>
      <c r="I269" s="100"/>
      <c r="L269" s="74"/>
    </row>
    <row r="270" spans="1:12" ht="29.25" customHeight="1">
      <c r="A270" s="37">
        <v>137</v>
      </c>
      <c r="B270" s="94" t="s">
        <v>335</v>
      </c>
      <c r="C270" s="43" t="s">
        <v>260</v>
      </c>
      <c r="D270" s="40" t="s">
        <v>17</v>
      </c>
      <c r="E270" s="41" t="s">
        <v>25</v>
      </c>
      <c r="F270" s="41">
        <v>2</v>
      </c>
      <c r="G270" s="42">
        <v>7000</v>
      </c>
      <c r="H270" s="40" t="s">
        <v>19</v>
      </c>
      <c r="I270" s="100"/>
      <c r="L270" s="74"/>
    </row>
    <row r="271" spans="1:14" ht="32.25" customHeight="1" hidden="1">
      <c r="A271" s="37"/>
      <c r="B271" s="45" t="s">
        <v>59</v>
      </c>
      <c r="C271" s="46"/>
      <c r="D271" s="47"/>
      <c r="E271" s="48"/>
      <c r="F271" s="48"/>
      <c r="G271" s="42">
        <f>SUM(G259:G270)</f>
        <v>109150</v>
      </c>
      <c r="H271" s="156"/>
      <c r="I271" s="31"/>
      <c r="K271" s="74" t="e">
        <f>SUM(#REF!)</f>
        <v>#REF!</v>
      </c>
      <c r="L271" s="74"/>
      <c r="M271" s="12">
        <f>15609.86+2374.04</f>
        <v>17983.9</v>
      </c>
      <c r="N271" s="74"/>
    </row>
    <row r="272" spans="1:14" ht="30" customHeight="1">
      <c r="A272" s="37">
        <v>138</v>
      </c>
      <c r="B272" s="40" t="s">
        <v>269</v>
      </c>
      <c r="C272" s="40" t="s">
        <v>270</v>
      </c>
      <c r="D272" s="40" t="s">
        <v>62</v>
      </c>
      <c r="E272" s="41" t="s">
        <v>34</v>
      </c>
      <c r="F272" s="69">
        <v>2</v>
      </c>
      <c r="G272" s="42">
        <v>748.8</v>
      </c>
      <c r="H272" s="40" t="s">
        <v>63</v>
      </c>
      <c r="I272" s="31"/>
      <c r="K272" s="74"/>
      <c r="L272" s="74"/>
      <c r="N272" s="74"/>
    </row>
    <row r="273" spans="1:14" ht="30" customHeight="1">
      <c r="A273" s="37">
        <v>139</v>
      </c>
      <c r="B273" s="38" t="s">
        <v>216</v>
      </c>
      <c r="C273" s="40" t="s">
        <v>217</v>
      </c>
      <c r="D273" s="40" t="s">
        <v>62</v>
      </c>
      <c r="E273" s="41" t="s">
        <v>34</v>
      </c>
      <c r="F273" s="69">
        <v>150</v>
      </c>
      <c r="G273" s="42">
        <v>2745</v>
      </c>
      <c r="H273" s="40" t="s">
        <v>63</v>
      </c>
      <c r="I273" s="31"/>
      <c r="K273" s="74"/>
      <c r="L273" s="74"/>
      <c r="N273" s="74"/>
    </row>
    <row r="274" spans="1:14" ht="30" customHeight="1">
      <c r="A274" s="37">
        <v>140</v>
      </c>
      <c r="B274" s="38" t="s">
        <v>64</v>
      </c>
      <c r="C274" s="40" t="s">
        <v>65</v>
      </c>
      <c r="D274" s="40" t="s">
        <v>62</v>
      </c>
      <c r="E274" s="41" t="s">
        <v>34</v>
      </c>
      <c r="F274" s="69">
        <v>1400</v>
      </c>
      <c r="G274" s="42">
        <v>23520</v>
      </c>
      <c r="H274" s="40" t="s">
        <v>63</v>
      </c>
      <c r="I274" s="31"/>
      <c r="K274" s="74"/>
      <c r="L274" s="74"/>
      <c r="N274" s="74"/>
    </row>
    <row r="275" spans="1:14" ht="30" customHeight="1">
      <c r="A275" s="37">
        <v>141</v>
      </c>
      <c r="B275" s="38" t="s">
        <v>529</v>
      </c>
      <c r="C275" s="40" t="s">
        <v>530</v>
      </c>
      <c r="D275" s="40" t="s">
        <v>62</v>
      </c>
      <c r="E275" s="41" t="s">
        <v>34</v>
      </c>
      <c r="F275" s="69">
        <v>49</v>
      </c>
      <c r="G275" s="42">
        <v>886.9</v>
      </c>
      <c r="H275" s="40" t="s">
        <v>63</v>
      </c>
      <c r="I275" s="31"/>
      <c r="K275" s="74"/>
      <c r="L275" s="74"/>
      <c r="N275" s="74"/>
    </row>
    <row r="276" spans="1:14" ht="30" customHeight="1">
      <c r="A276" s="37">
        <v>142</v>
      </c>
      <c r="B276" s="38" t="s">
        <v>71</v>
      </c>
      <c r="C276" s="71" t="s">
        <v>72</v>
      </c>
      <c r="D276" s="40" t="s">
        <v>62</v>
      </c>
      <c r="E276" s="41" t="s">
        <v>34</v>
      </c>
      <c r="F276" s="69">
        <v>120</v>
      </c>
      <c r="G276" s="42">
        <v>1836</v>
      </c>
      <c r="H276" s="40" t="s">
        <v>63</v>
      </c>
      <c r="I276" s="31"/>
      <c r="K276" s="74"/>
      <c r="L276" s="74"/>
      <c r="N276" s="74"/>
    </row>
    <row r="277" spans="1:14" ht="45" customHeight="1">
      <c r="A277" s="37">
        <v>143</v>
      </c>
      <c r="B277" s="38" t="s">
        <v>73</v>
      </c>
      <c r="C277" s="40" t="s">
        <v>74</v>
      </c>
      <c r="D277" s="40" t="s">
        <v>62</v>
      </c>
      <c r="E277" s="41" t="s">
        <v>34</v>
      </c>
      <c r="F277" s="69">
        <v>120</v>
      </c>
      <c r="G277" s="42">
        <v>2760</v>
      </c>
      <c r="H277" s="40" t="s">
        <v>63</v>
      </c>
      <c r="I277" s="31"/>
      <c r="K277" s="74"/>
      <c r="L277" s="74"/>
      <c r="N277" s="74"/>
    </row>
    <row r="278" spans="1:14" ht="30" customHeight="1">
      <c r="A278" s="37">
        <v>144</v>
      </c>
      <c r="B278" s="38" t="s">
        <v>75</v>
      </c>
      <c r="C278" s="40" t="s">
        <v>76</v>
      </c>
      <c r="D278" s="40" t="s">
        <v>62</v>
      </c>
      <c r="E278" s="41" t="s">
        <v>77</v>
      </c>
      <c r="F278" s="69">
        <v>20</v>
      </c>
      <c r="G278" s="42">
        <v>1524</v>
      </c>
      <c r="H278" s="40" t="s">
        <v>63</v>
      </c>
      <c r="I278" s="31"/>
      <c r="K278" s="74"/>
      <c r="L278" s="74"/>
      <c r="N278" s="74"/>
    </row>
    <row r="279" spans="1:14" ht="30" customHeight="1">
      <c r="A279" s="37">
        <v>145</v>
      </c>
      <c r="B279" s="38" t="s">
        <v>78</v>
      </c>
      <c r="C279" s="40" t="s">
        <v>79</v>
      </c>
      <c r="D279" s="40" t="s">
        <v>62</v>
      </c>
      <c r="E279" s="41" t="s">
        <v>34</v>
      </c>
      <c r="F279" s="69">
        <v>50</v>
      </c>
      <c r="G279" s="42">
        <v>15395</v>
      </c>
      <c r="H279" s="40" t="s">
        <v>63</v>
      </c>
      <c r="I279" s="31"/>
      <c r="K279" s="74"/>
      <c r="L279" s="74"/>
      <c r="N279" s="74"/>
    </row>
    <row r="280" spans="1:14" ht="45" customHeight="1">
      <c r="A280" s="37">
        <v>146</v>
      </c>
      <c r="B280" s="38" t="s">
        <v>80</v>
      </c>
      <c r="C280" s="40" t="s">
        <v>81</v>
      </c>
      <c r="D280" s="40" t="s">
        <v>62</v>
      </c>
      <c r="E280" s="41" t="s">
        <v>82</v>
      </c>
      <c r="F280" s="69">
        <v>90</v>
      </c>
      <c r="G280" s="42">
        <v>3582</v>
      </c>
      <c r="H280" s="40" t="s">
        <v>63</v>
      </c>
      <c r="I280" s="31"/>
      <c r="K280" s="74"/>
      <c r="L280" s="74"/>
      <c r="N280" s="74"/>
    </row>
    <row r="281" spans="1:14" ht="30" customHeight="1">
      <c r="A281" s="37">
        <v>147</v>
      </c>
      <c r="B281" s="38" t="s">
        <v>83</v>
      </c>
      <c r="C281" s="40" t="s">
        <v>72</v>
      </c>
      <c r="D281" s="40" t="s">
        <v>62</v>
      </c>
      <c r="E281" s="41" t="s">
        <v>34</v>
      </c>
      <c r="F281" s="69">
        <v>100</v>
      </c>
      <c r="G281" s="42">
        <v>2270</v>
      </c>
      <c r="H281" s="40" t="s">
        <v>63</v>
      </c>
      <c r="I281" s="31"/>
      <c r="K281" s="74"/>
      <c r="L281" s="74"/>
      <c r="N281" s="74"/>
    </row>
    <row r="282" spans="1:14" ht="30" customHeight="1">
      <c r="A282" s="37">
        <v>148</v>
      </c>
      <c r="B282" s="38" t="s">
        <v>220</v>
      </c>
      <c r="C282" s="40" t="s">
        <v>221</v>
      </c>
      <c r="D282" s="40" t="s">
        <v>62</v>
      </c>
      <c r="E282" s="41" t="s">
        <v>34</v>
      </c>
      <c r="F282" s="69">
        <v>150</v>
      </c>
      <c r="G282" s="42">
        <v>1965</v>
      </c>
      <c r="H282" s="40" t="s">
        <v>63</v>
      </c>
      <c r="I282" s="31"/>
      <c r="K282" s="74"/>
      <c r="L282" s="74"/>
      <c r="N282" s="74"/>
    </row>
    <row r="283" spans="1:14" ht="45" customHeight="1">
      <c r="A283" s="37">
        <v>149</v>
      </c>
      <c r="B283" s="38" t="s">
        <v>84</v>
      </c>
      <c r="C283" s="40" t="s">
        <v>85</v>
      </c>
      <c r="D283" s="40" t="s">
        <v>62</v>
      </c>
      <c r="E283" s="41" t="s">
        <v>34</v>
      </c>
      <c r="F283" s="69">
        <v>20.15</v>
      </c>
      <c r="G283" s="42">
        <v>2381.73</v>
      </c>
      <c r="H283" s="40" t="s">
        <v>63</v>
      </c>
      <c r="I283" s="31"/>
      <c r="K283" s="74"/>
      <c r="L283" s="74"/>
      <c r="N283" s="74"/>
    </row>
    <row r="284" spans="1:14" ht="30" customHeight="1">
      <c r="A284" s="37">
        <v>150</v>
      </c>
      <c r="B284" s="38" t="s">
        <v>665</v>
      </c>
      <c r="C284" s="40" t="s">
        <v>666</v>
      </c>
      <c r="D284" s="40" t="s">
        <v>62</v>
      </c>
      <c r="E284" s="41" t="s">
        <v>34</v>
      </c>
      <c r="F284" s="69">
        <v>279</v>
      </c>
      <c r="G284" s="42">
        <v>35656.2</v>
      </c>
      <c r="H284" s="40" t="s">
        <v>63</v>
      </c>
      <c r="I284" s="31"/>
      <c r="K284" s="74"/>
      <c r="L284" s="74"/>
      <c r="N284" s="74"/>
    </row>
    <row r="285" spans="1:14" ht="30" customHeight="1">
      <c r="A285" s="37">
        <v>151</v>
      </c>
      <c r="B285" s="38" t="s">
        <v>88</v>
      </c>
      <c r="C285" s="40" t="s">
        <v>85</v>
      </c>
      <c r="D285" s="40" t="s">
        <v>62</v>
      </c>
      <c r="E285" s="41" t="s">
        <v>34</v>
      </c>
      <c r="F285" s="69">
        <v>35</v>
      </c>
      <c r="G285" s="42">
        <v>4361</v>
      </c>
      <c r="H285" s="40" t="s">
        <v>63</v>
      </c>
      <c r="I285" s="31"/>
      <c r="K285" s="74"/>
      <c r="L285" s="74"/>
      <c r="N285" s="74"/>
    </row>
    <row r="286" spans="1:14" ht="30" customHeight="1">
      <c r="A286" s="37">
        <v>152</v>
      </c>
      <c r="B286" s="38" t="s">
        <v>89</v>
      </c>
      <c r="C286" s="40" t="s">
        <v>90</v>
      </c>
      <c r="D286" s="40" t="s">
        <v>62</v>
      </c>
      <c r="E286" s="41" t="s">
        <v>34</v>
      </c>
      <c r="F286" s="69">
        <v>80</v>
      </c>
      <c r="G286" s="42">
        <v>3960</v>
      </c>
      <c r="H286" s="40" t="s">
        <v>63</v>
      </c>
      <c r="I286" s="31"/>
      <c r="K286" s="74"/>
      <c r="L286" s="74"/>
      <c r="N286" s="74"/>
    </row>
    <row r="287" spans="1:14" ht="30" customHeight="1">
      <c r="A287" s="37">
        <v>153</v>
      </c>
      <c r="B287" s="38" t="s">
        <v>91</v>
      </c>
      <c r="C287" s="40" t="s">
        <v>92</v>
      </c>
      <c r="D287" s="40" t="s">
        <v>62</v>
      </c>
      <c r="E287" s="41" t="s">
        <v>34</v>
      </c>
      <c r="F287" s="69">
        <v>150</v>
      </c>
      <c r="G287" s="42">
        <v>25080</v>
      </c>
      <c r="H287" s="40" t="s">
        <v>63</v>
      </c>
      <c r="I287" s="31"/>
      <c r="K287" s="74"/>
      <c r="L287" s="74"/>
      <c r="N287" s="74"/>
    </row>
    <row r="288" spans="1:14" ht="30" customHeight="1">
      <c r="A288" s="37">
        <v>154</v>
      </c>
      <c r="B288" s="38" t="s">
        <v>274</v>
      </c>
      <c r="C288" s="40" t="s">
        <v>275</v>
      </c>
      <c r="D288" s="40" t="s">
        <v>62</v>
      </c>
      <c r="E288" s="41" t="s">
        <v>34</v>
      </c>
      <c r="F288" s="69">
        <v>150</v>
      </c>
      <c r="G288" s="42">
        <v>5850</v>
      </c>
      <c r="H288" s="40" t="s">
        <v>63</v>
      </c>
      <c r="I288" s="31"/>
      <c r="K288" s="74"/>
      <c r="L288" s="74"/>
      <c r="N288" s="74"/>
    </row>
    <row r="289" spans="1:14" ht="30" customHeight="1">
      <c r="A289" s="37">
        <v>155</v>
      </c>
      <c r="B289" s="38" t="s">
        <v>222</v>
      </c>
      <c r="C289" s="40" t="s">
        <v>223</v>
      </c>
      <c r="D289" s="40" t="s">
        <v>62</v>
      </c>
      <c r="E289" s="41" t="s">
        <v>34</v>
      </c>
      <c r="F289" s="69">
        <v>100</v>
      </c>
      <c r="G289" s="42">
        <v>1920</v>
      </c>
      <c r="H289" s="40" t="s">
        <v>63</v>
      </c>
      <c r="I289" s="31"/>
      <c r="K289" s="74"/>
      <c r="L289" s="74"/>
      <c r="N289" s="74"/>
    </row>
    <row r="290" spans="1:14" ht="30" customHeight="1">
      <c r="A290" s="37">
        <v>156</v>
      </c>
      <c r="B290" s="38" t="s">
        <v>93</v>
      </c>
      <c r="C290" s="40" t="s">
        <v>94</v>
      </c>
      <c r="D290" s="40" t="s">
        <v>62</v>
      </c>
      <c r="E290" s="41" t="s">
        <v>34</v>
      </c>
      <c r="F290" s="69">
        <v>47.88</v>
      </c>
      <c r="G290" s="42">
        <v>6224.4</v>
      </c>
      <c r="H290" s="40" t="s">
        <v>63</v>
      </c>
      <c r="I290" s="31"/>
      <c r="K290" s="74"/>
      <c r="L290" s="74"/>
      <c r="N290" s="74"/>
    </row>
    <row r="291" spans="1:14" ht="30" customHeight="1">
      <c r="A291" s="37">
        <v>157</v>
      </c>
      <c r="B291" s="38" t="s">
        <v>224</v>
      </c>
      <c r="C291" s="40" t="s">
        <v>225</v>
      </c>
      <c r="D291" s="40" t="s">
        <v>62</v>
      </c>
      <c r="E291" s="41" t="s">
        <v>34</v>
      </c>
      <c r="F291" s="69">
        <v>20.029</v>
      </c>
      <c r="G291" s="42">
        <v>254.37</v>
      </c>
      <c r="H291" s="40" t="s">
        <v>63</v>
      </c>
      <c r="I291" s="31"/>
      <c r="K291" s="74"/>
      <c r="L291" s="74"/>
      <c r="N291" s="74"/>
    </row>
    <row r="292" spans="1:14" ht="30" customHeight="1">
      <c r="A292" s="37">
        <v>158</v>
      </c>
      <c r="B292" s="40" t="s">
        <v>226</v>
      </c>
      <c r="C292" s="40" t="s">
        <v>227</v>
      </c>
      <c r="D292" s="40" t="s">
        <v>62</v>
      </c>
      <c r="E292" s="41" t="s">
        <v>34</v>
      </c>
      <c r="F292" s="69">
        <v>55</v>
      </c>
      <c r="G292" s="42">
        <v>7628.5</v>
      </c>
      <c r="H292" s="40" t="s">
        <v>63</v>
      </c>
      <c r="I292" s="31"/>
      <c r="K292" s="74"/>
      <c r="L292" s="74"/>
      <c r="N292" s="74"/>
    </row>
    <row r="293" spans="1:14" ht="30" customHeight="1">
      <c r="A293" s="37">
        <v>159</v>
      </c>
      <c r="B293" s="40" t="s">
        <v>276</v>
      </c>
      <c r="C293" s="40" t="s">
        <v>277</v>
      </c>
      <c r="D293" s="40" t="s">
        <v>62</v>
      </c>
      <c r="E293" s="41" t="s">
        <v>34</v>
      </c>
      <c r="F293" s="69">
        <v>20</v>
      </c>
      <c r="G293" s="42">
        <v>3792</v>
      </c>
      <c r="H293" s="40" t="s">
        <v>63</v>
      </c>
      <c r="I293" s="31"/>
      <c r="K293" s="74"/>
      <c r="L293" s="74"/>
      <c r="N293" s="74"/>
    </row>
    <row r="294" spans="1:14" ht="45" customHeight="1">
      <c r="A294" s="37">
        <v>160</v>
      </c>
      <c r="B294" s="38" t="s">
        <v>60</v>
      </c>
      <c r="C294" s="40" t="s">
        <v>61</v>
      </c>
      <c r="D294" s="40" t="s">
        <v>62</v>
      </c>
      <c r="E294" s="41" t="s">
        <v>34</v>
      </c>
      <c r="F294" s="69">
        <v>10</v>
      </c>
      <c r="G294" s="42">
        <v>436</v>
      </c>
      <c r="H294" s="40" t="s">
        <v>63</v>
      </c>
      <c r="I294" s="31"/>
      <c r="K294" s="74"/>
      <c r="L294" s="74"/>
      <c r="N294" s="74"/>
    </row>
    <row r="295" spans="1:14" ht="30" customHeight="1">
      <c r="A295" s="37">
        <v>161</v>
      </c>
      <c r="B295" s="40" t="s">
        <v>95</v>
      </c>
      <c r="C295" s="40" t="s">
        <v>96</v>
      </c>
      <c r="D295" s="40" t="s">
        <v>62</v>
      </c>
      <c r="E295" s="41" t="s">
        <v>34</v>
      </c>
      <c r="F295" s="69">
        <v>150</v>
      </c>
      <c r="G295" s="42">
        <v>31740</v>
      </c>
      <c r="H295" s="40" t="s">
        <v>63</v>
      </c>
      <c r="I295" s="31"/>
      <c r="K295" s="74"/>
      <c r="L295" s="74"/>
      <c r="N295" s="74"/>
    </row>
    <row r="296" spans="1:14" ht="30" customHeight="1">
      <c r="A296" s="37">
        <v>162</v>
      </c>
      <c r="B296" s="40" t="s">
        <v>667</v>
      </c>
      <c r="C296" s="40" t="s">
        <v>668</v>
      </c>
      <c r="D296" s="40" t="s">
        <v>62</v>
      </c>
      <c r="E296" s="41" t="s">
        <v>34</v>
      </c>
      <c r="F296" s="69">
        <v>135</v>
      </c>
      <c r="G296" s="42">
        <v>31050</v>
      </c>
      <c r="H296" s="40" t="s">
        <v>63</v>
      </c>
      <c r="I296" s="31"/>
      <c r="K296" s="74"/>
      <c r="L296" s="74"/>
      <c r="N296" s="74"/>
    </row>
    <row r="297" spans="1:14" ht="45" customHeight="1">
      <c r="A297" s="37">
        <v>163</v>
      </c>
      <c r="B297" s="54" t="s">
        <v>98</v>
      </c>
      <c r="C297" s="40" t="s">
        <v>61</v>
      </c>
      <c r="D297" s="40" t="s">
        <v>62</v>
      </c>
      <c r="E297" s="41" t="s">
        <v>25</v>
      </c>
      <c r="F297" s="69">
        <v>1900</v>
      </c>
      <c r="G297" s="42">
        <f>24035+67.8+5.6-17.5</f>
        <v>24090.899999999998</v>
      </c>
      <c r="H297" s="40" t="s">
        <v>63</v>
      </c>
      <c r="I297" s="31"/>
      <c r="K297" s="74"/>
      <c r="L297" s="74"/>
      <c r="N297" s="74"/>
    </row>
    <row r="298" spans="1:14" ht="30" customHeight="1">
      <c r="A298" s="37">
        <v>164</v>
      </c>
      <c r="B298" s="40" t="s">
        <v>99</v>
      </c>
      <c r="C298" s="40" t="s">
        <v>100</v>
      </c>
      <c r="D298" s="40" t="s">
        <v>62</v>
      </c>
      <c r="E298" s="41" t="s">
        <v>34</v>
      </c>
      <c r="F298" s="69">
        <v>150</v>
      </c>
      <c r="G298" s="42">
        <v>45930</v>
      </c>
      <c r="H298" s="40" t="s">
        <v>63</v>
      </c>
      <c r="I298" s="31"/>
      <c r="K298" s="74"/>
      <c r="L298" s="74"/>
      <c r="N298" s="74"/>
    </row>
    <row r="299" spans="1:14" ht="30" customHeight="1">
      <c r="A299" s="37">
        <v>165</v>
      </c>
      <c r="B299" s="40" t="s">
        <v>228</v>
      </c>
      <c r="C299" s="40" t="s">
        <v>229</v>
      </c>
      <c r="D299" s="40" t="s">
        <v>62</v>
      </c>
      <c r="E299" s="41" t="s">
        <v>34</v>
      </c>
      <c r="F299" s="69">
        <v>150</v>
      </c>
      <c r="G299" s="42">
        <v>6135</v>
      </c>
      <c r="H299" s="40" t="s">
        <v>63</v>
      </c>
      <c r="I299" s="31"/>
      <c r="K299" s="74"/>
      <c r="L299" s="74"/>
      <c r="N299" s="74"/>
    </row>
    <row r="300" spans="1:14" ht="30" customHeight="1">
      <c r="A300" s="37">
        <v>166</v>
      </c>
      <c r="B300" s="40" t="s">
        <v>103</v>
      </c>
      <c r="C300" s="40" t="s">
        <v>104</v>
      </c>
      <c r="D300" s="40" t="s">
        <v>62</v>
      </c>
      <c r="E300" s="41" t="s">
        <v>25</v>
      </c>
      <c r="F300" s="69">
        <v>4000</v>
      </c>
      <c r="G300" s="42">
        <v>18560</v>
      </c>
      <c r="H300" s="40" t="s">
        <v>63</v>
      </c>
      <c r="I300" s="31"/>
      <c r="K300" s="74"/>
      <c r="L300" s="74"/>
      <c r="N300" s="74"/>
    </row>
    <row r="301" spans="1:14" ht="30" customHeight="1">
      <c r="A301" s="37">
        <v>167</v>
      </c>
      <c r="B301" s="40" t="s">
        <v>230</v>
      </c>
      <c r="C301" s="40" t="s">
        <v>231</v>
      </c>
      <c r="D301" s="40" t="s">
        <v>62</v>
      </c>
      <c r="E301" s="41" t="s">
        <v>77</v>
      </c>
      <c r="F301" s="69">
        <v>30</v>
      </c>
      <c r="G301" s="42">
        <v>1803</v>
      </c>
      <c r="H301" s="40" t="s">
        <v>63</v>
      </c>
      <c r="I301" s="31"/>
      <c r="K301" s="74"/>
      <c r="L301" s="74"/>
      <c r="N301" s="74"/>
    </row>
    <row r="302" spans="1:14" ht="30" customHeight="1">
      <c r="A302" s="37">
        <v>168</v>
      </c>
      <c r="B302" s="38" t="s">
        <v>232</v>
      </c>
      <c r="C302" s="40" t="s">
        <v>85</v>
      </c>
      <c r="D302" s="40" t="s">
        <v>62</v>
      </c>
      <c r="E302" s="41" t="s">
        <v>34</v>
      </c>
      <c r="F302" s="69">
        <v>21</v>
      </c>
      <c r="G302" s="42">
        <v>2482.2</v>
      </c>
      <c r="H302" s="40" t="s">
        <v>63</v>
      </c>
      <c r="I302" s="31"/>
      <c r="K302" s="74"/>
      <c r="L302" s="74"/>
      <c r="N302" s="74"/>
    </row>
    <row r="303" spans="1:14" ht="30" customHeight="1">
      <c r="A303" s="37">
        <v>169</v>
      </c>
      <c r="B303" s="38" t="s">
        <v>105</v>
      </c>
      <c r="C303" s="40" t="s">
        <v>70</v>
      </c>
      <c r="D303" s="40" t="s">
        <v>62</v>
      </c>
      <c r="E303" s="41" t="s">
        <v>34</v>
      </c>
      <c r="F303" s="69">
        <v>50</v>
      </c>
      <c r="G303" s="42">
        <v>1645</v>
      </c>
      <c r="H303" s="40" t="s">
        <v>63</v>
      </c>
      <c r="I303" s="31"/>
      <c r="K303" s="74"/>
      <c r="L303" s="74"/>
      <c r="N303" s="74"/>
    </row>
    <row r="304" spans="1:14" ht="30" customHeight="1">
      <c r="A304" s="37">
        <v>170</v>
      </c>
      <c r="B304" s="38" t="s">
        <v>268</v>
      </c>
      <c r="C304" s="40" t="s">
        <v>70</v>
      </c>
      <c r="D304" s="40" t="s">
        <v>62</v>
      </c>
      <c r="E304" s="41" t="s">
        <v>34</v>
      </c>
      <c r="F304" s="69">
        <v>10</v>
      </c>
      <c r="G304" s="42">
        <v>207</v>
      </c>
      <c r="H304" s="40" t="s">
        <v>63</v>
      </c>
      <c r="I304" s="31"/>
      <c r="K304" s="74"/>
      <c r="L304" s="74"/>
      <c r="N304" s="74"/>
    </row>
    <row r="305" spans="1:14" ht="32.25" customHeight="1" hidden="1">
      <c r="A305" s="37"/>
      <c r="B305" s="45" t="s">
        <v>106</v>
      </c>
      <c r="C305" s="46"/>
      <c r="D305" s="40"/>
      <c r="E305" s="41"/>
      <c r="F305" s="157"/>
      <c r="G305" s="158">
        <f>SUM(G272:G304)</f>
        <v>318420</v>
      </c>
      <c r="H305" s="159"/>
      <c r="I305" s="31"/>
      <c r="K305" s="74"/>
      <c r="L305" s="74"/>
      <c r="N305" s="74"/>
    </row>
    <row r="306" spans="1:12" ht="30" customHeight="1">
      <c r="A306" s="37">
        <v>171</v>
      </c>
      <c r="B306" s="38" t="s">
        <v>235</v>
      </c>
      <c r="C306" s="40" t="s">
        <v>116</v>
      </c>
      <c r="D306" s="40" t="s">
        <v>109</v>
      </c>
      <c r="E306" s="41" t="s">
        <v>113</v>
      </c>
      <c r="F306" s="50" t="s">
        <v>117</v>
      </c>
      <c r="G306" s="42">
        <v>1021.5</v>
      </c>
      <c r="H306" s="40" t="s">
        <v>63</v>
      </c>
      <c r="I306" s="31"/>
      <c r="K306" s="12">
        <f>308+10</f>
        <v>318</v>
      </c>
      <c r="L306" s="74">
        <f aca="true" t="shared" si="6" ref="L306:L315">G306-K306</f>
        <v>703.5</v>
      </c>
    </row>
    <row r="307" spans="1:12" ht="30" customHeight="1">
      <c r="A307" s="37">
        <v>172</v>
      </c>
      <c r="B307" s="38" t="s">
        <v>433</v>
      </c>
      <c r="C307" s="40" t="s">
        <v>234</v>
      </c>
      <c r="D307" s="40" t="s">
        <v>109</v>
      </c>
      <c r="E307" s="41" t="s">
        <v>113</v>
      </c>
      <c r="F307" s="41" t="s">
        <v>117</v>
      </c>
      <c r="G307" s="42">
        <v>900</v>
      </c>
      <c r="H307" s="40" t="s">
        <v>63</v>
      </c>
      <c r="I307" s="31"/>
      <c r="K307" s="12">
        <f>260+40</f>
        <v>300</v>
      </c>
      <c r="L307" s="74">
        <f t="shared" si="6"/>
        <v>600</v>
      </c>
    </row>
    <row r="308" spans="1:12" ht="30" customHeight="1">
      <c r="A308" s="37">
        <v>173</v>
      </c>
      <c r="B308" s="38" t="s">
        <v>130</v>
      </c>
      <c r="C308" s="40" t="s">
        <v>131</v>
      </c>
      <c r="D308" s="40" t="s">
        <v>109</v>
      </c>
      <c r="E308" s="41" t="s">
        <v>25</v>
      </c>
      <c r="F308" s="50">
        <v>6</v>
      </c>
      <c r="G308" s="42">
        <v>1512</v>
      </c>
      <c r="H308" s="40" t="s">
        <v>132</v>
      </c>
      <c r="I308" s="31"/>
      <c r="L308" s="74">
        <f t="shared" si="6"/>
        <v>1512</v>
      </c>
    </row>
    <row r="309" spans="1:12" s="6" customFormat="1" ht="29.25" customHeight="1">
      <c r="A309" s="37">
        <v>174</v>
      </c>
      <c r="B309" s="160" t="s">
        <v>124</v>
      </c>
      <c r="C309" s="161" t="s">
        <v>125</v>
      </c>
      <c r="D309" s="133" t="s">
        <v>109</v>
      </c>
      <c r="E309" s="41" t="s">
        <v>126</v>
      </c>
      <c r="F309" s="41">
        <v>694</v>
      </c>
      <c r="G309" s="42">
        <v>2054.24</v>
      </c>
      <c r="H309" s="40" t="s">
        <v>19</v>
      </c>
      <c r="I309" s="31"/>
      <c r="L309" s="166">
        <f t="shared" si="6"/>
        <v>2054.24</v>
      </c>
    </row>
    <row r="310" spans="1:12" s="6" customFormat="1" ht="29.25" customHeight="1">
      <c r="A310" s="37">
        <v>175</v>
      </c>
      <c r="B310" s="160" t="s">
        <v>127</v>
      </c>
      <c r="C310" s="161" t="s">
        <v>125</v>
      </c>
      <c r="D310" s="133" t="s">
        <v>109</v>
      </c>
      <c r="E310" s="41" t="s">
        <v>126</v>
      </c>
      <c r="F310" s="41">
        <v>1000</v>
      </c>
      <c r="G310" s="42">
        <v>2580</v>
      </c>
      <c r="H310" s="40" t="s">
        <v>19</v>
      </c>
      <c r="I310" s="31"/>
      <c r="L310" s="166">
        <f t="shared" si="6"/>
        <v>2580</v>
      </c>
    </row>
    <row r="311" spans="1:12" ht="45" customHeight="1">
      <c r="A311" s="37">
        <v>176</v>
      </c>
      <c r="B311" s="98" t="s">
        <v>318</v>
      </c>
      <c r="C311" s="99" t="s">
        <v>108</v>
      </c>
      <c r="D311" s="99" t="s">
        <v>109</v>
      </c>
      <c r="E311" s="162" t="s">
        <v>110</v>
      </c>
      <c r="F311" s="50">
        <v>28</v>
      </c>
      <c r="G311" s="42">
        <v>2643.2</v>
      </c>
      <c r="H311" s="40" t="s">
        <v>63</v>
      </c>
      <c r="I311" s="31"/>
      <c r="K311" s="12">
        <v>944</v>
      </c>
      <c r="L311" s="74">
        <f t="shared" si="6"/>
        <v>1699.1999999999998</v>
      </c>
    </row>
    <row r="312" spans="1:12" ht="45" customHeight="1">
      <c r="A312" s="37">
        <v>177</v>
      </c>
      <c r="B312" s="98" t="s">
        <v>531</v>
      </c>
      <c r="C312" s="99" t="s">
        <v>532</v>
      </c>
      <c r="D312" s="99" t="s">
        <v>109</v>
      </c>
      <c r="E312" s="162" t="s">
        <v>113</v>
      </c>
      <c r="F312" s="162">
        <v>2</v>
      </c>
      <c r="G312" s="163">
        <v>1000</v>
      </c>
      <c r="H312" s="40" t="s">
        <v>19</v>
      </c>
      <c r="I312" s="31"/>
      <c r="L312" s="74"/>
    </row>
    <row r="313" spans="1:12" ht="30" customHeight="1">
      <c r="A313" s="37">
        <v>178</v>
      </c>
      <c r="B313" s="98" t="s">
        <v>281</v>
      </c>
      <c r="C313" s="99" t="s">
        <v>326</v>
      </c>
      <c r="D313" s="40" t="s">
        <v>109</v>
      </c>
      <c r="E313" s="41" t="s">
        <v>113</v>
      </c>
      <c r="F313" s="41" t="s">
        <v>117</v>
      </c>
      <c r="G313" s="42">
        <v>909</v>
      </c>
      <c r="H313" s="40" t="s">
        <v>63</v>
      </c>
      <c r="I313" s="31"/>
      <c r="K313" s="12">
        <f>470.96</f>
        <v>470.96</v>
      </c>
      <c r="L313" s="74">
        <f t="shared" si="6"/>
        <v>438.04</v>
      </c>
    </row>
    <row r="314" spans="1:12" ht="45" customHeight="1">
      <c r="A314" s="37">
        <v>179</v>
      </c>
      <c r="B314" s="98" t="s">
        <v>295</v>
      </c>
      <c r="C314" s="99" t="s">
        <v>112</v>
      </c>
      <c r="D314" s="99" t="s">
        <v>109</v>
      </c>
      <c r="E314" s="162" t="s">
        <v>113</v>
      </c>
      <c r="F314" s="50" t="s">
        <v>533</v>
      </c>
      <c r="G314" s="42">
        <v>9000</v>
      </c>
      <c r="H314" s="40" t="s">
        <v>63</v>
      </c>
      <c r="I314" s="31"/>
      <c r="K314" s="12">
        <v>2000</v>
      </c>
      <c r="L314" s="74">
        <f t="shared" si="6"/>
        <v>7000</v>
      </c>
    </row>
    <row r="315" spans="1:12" ht="45" customHeight="1">
      <c r="A315" s="37">
        <v>180</v>
      </c>
      <c r="B315" s="38" t="s">
        <v>236</v>
      </c>
      <c r="C315" s="40" t="s">
        <v>119</v>
      </c>
      <c r="D315" s="40" t="s">
        <v>109</v>
      </c>
      <c r="E315" s="41" t="s">
        <v>120</v>
      </c>
      <c r="F315" s="41" t="s">
        <v>121</v>
      </c>
      <c r="G315" s="42">
        <v>11091.06</v>
      </c>
      <c r="H315" s="40" t="s">
        <v>63</v>
      </c>
      <c r="I315" s="31"/>
      <c r="K315" s="12">
        <f>3496.02</f>
        <v>3496.02</v>
      </c>
      <c r="L315" s="74">
        <f t="shared" si="6"/>
        <v>7595.039999999999</v>
      </c>
    </row>
    <row r="316" spans="1:9" ht="32.25" customHeight="1" hidden="1">
      <c r="A316" s="37">
        <v>181</v>
      </c>
      <c r="B316" s="45" t="s">
        <v>136</v>
      </c>
      <c r="C316" s="46"/>
      <c r="D316" s="40"/>
      <c r="E316" s="41"/>
      <c r="F316" s="41"/>
      <c r="G316" s="42">
        <f>SUM(G306:G315)</f>
        <v>32711</v>
      </c>
      <c r="H316" s="164"/>
      <c r="I316" s="31"/>
    </row>
    <row r="317" spans="1:13" ht="29.25" customHeight="1">
      <c r="A317" s="37">
        <v>181</v>
      </c>
      <c r="B317" s="38" t="s">
        <v>137</v>
      </c>
      <c r="C317" s="52" t="s">
        <v>138</v>
      </c>
      <c r="D317" s="40" t="s">
        <v>139</v>
      </c>
      <c r="E317" s="41" t="s">
        <v>140</v>
      </c>
      <c r="F317" s="53">
        <f>G317/2878.55</f>
        <v>157.7374025116812</v>
      </c>
      <c r="G317" s="42">
        <v>454055</v>
      </c>
      <c r="H317" s="40" t="s">
        <v>63</v>
      </c>
      <c r="I317" s="31"/>
      <c r="L317" s="74">
        <f>F317-J317</f>
        <v>157.7374025116812</v>
      </c>
      <c r="M317" s="74">
        <f>G317-K317</f>
        <v>454055</v>
      </c>
    </row>
    <row r="318" spans="1:9" ht="32.25" customHeight="1" hidden="1">
      <c r="A318" s="37">
        <v>183</v>
      </c>
      <c r="B318" s="45" t="s">
        <v>141</v>
      </c>
      <c r="C318" s="46"/>
      <c r="D318" s="40"/>
      <c r="E318" s="41"/>
      <c r="F318" s="41"/>
      <c r="G318" s="42">
        <f>SUM(G317:G317)</f>
        <v>454055</v>
      </c>
      <c r="H318" s="51"/>
      <c r="I318" s="31"/>
    </row>
    <row r="319" spans="1:13" ht="30" customHeight="1">
      <c r="A319" s="37">
        <v>182</v>
      </c>
      <c r="B319" s="38" t="s">
        <v>485</v>
      </c>
      <c r="C319" s="54" t="s">
        <v>245</v>
      </c>
      <c r="D319" s="40" t="s">
        <v>246</v>
      </c>
      <c r="E319" s="41" t="s">
        <v>110</v>
      </c>
      <c r="F319" s="53">
        <v>385</v>
      </c>
      <c r="G319" s="42">
        <v>4896.57</v>
      </c>
      <c r="H319" s="40" t="s">
        <v>63</v>
      </c>
      <c r="I319" s="31"/>
      <c r="L319" s="74">
        <f>F319-J319</f>
        <v>385</v>
      </c>
      <c r="M319" s="74">
        <f>G319-K319</f>
        <v>4896.57</v>
      </c>
    </row>
    <row r="320" spans="1:13" ht="30" customHeight="1">
      <c r="A320" s="37">
        <v>183</v>
      </c>
      <c r="B320" s="38" t="s">
        <v>517</v>
      </c>
      <c r="C320" s="55" t="s">
        <v>518</v>
      </c>
      <c r="D320" s="40" t="s">
        <v>246</v>
      </c>
      <c r="E320" s="41" t="s">
        <v>110</v>
      </c>
      <c r="F320" s="53">
        <v>385</v>
      </c>
      <c r="G320" s="42">
        <v>5258.43</v>
      </c>
      <c r="H320" s="40" t="s">
        <v>63</v>
      </c>
      <c r="I320" s="31"/>
      <c r="L320" s="74">
        <f>F320-J320</f>
        <v>385</v>
      </c>
      <c r="M320" s="74">
        <f>G320-K320</f>
        <v>5258.43</v>
      </c>
    </row>
    <row r="321" spans="1:9" ht="21" customHeight="1" hidden="1">
      <c r="A321" s="37">
        <v>186</v>
      </c>
      <c r="B321" s="45" t="s">
        <v>247</v>
      </c>
      <c r="C321" s="46"/>
      <c r="D321" s="40"/>
      <c r="E321" s="41"/>
      <c r="F321" s="41"/>
      <c r="G321" s="42">
        <f>SUM(G319:G320)</f>
        <v>10155</v>
      </c>
      <c r="H321" s="51"/>
      <c r="I321" s="31"/>
    </row>
    <row r="322" spans="1:13" ht="29.25" customHeight="1">
      <c r="A322" s="37">
        <v>184</v>
      </c>
      <c r="B322" s="38" t="s">
        <v>142</v>
      </c>
      <c r="C322" s="54" t="s">
        <v>143</v>
      </c>
      <c r="D322" s="40" t="s">
        <v>144</v>
      </c>
      <c r="E322" s="41" t="s">
        <v>145</v>
      </c>
      <c r="F322" s="56">
        <f>G322/4.14243</f>
        <v>20782.728977918756</v>
      </c>
      <c r="G322" s="42">
        <v>86091</v>
      </c>
      <c r="H322" s="40" t="s">
        <v>63</v>
      </c>
      <c r="I322" s="31"/>
      <c r="K322" s="12">
        <f>38684.62+6915.38</f>
        <v>45600</v>
      </c>
      <c r="L322" s="74">
        <f>F322-J322</f>
        <v>20782.728977918756</v>
      </c>
      <c r="M322" s="74">
        <f>G322-K322</f>
        <v>40491</v>
      </c>
    </row>
    <row r="323" spans="1:9" ht="21" customHeight="1" hidden="1">
      <c r="A323" s="37">
        <v>188</v>
      </c>
      <c r="B323" s="45" t="s">
        <v>146</v>
      </c>
      <c r="C323" s="46"/>
      <c r="D323" s="40"/>
      <c r="E323" s="41"/>
      <c r="F323" s="41"/>
      <c r="G323" s="42">
        <f>G322</f>
        <v>86091</v>
      </c>
      <c r="H323" s="51"/>
      <c r="I323" s="31"/>
    </row>
    <row r="324" spans="1:9" ht="45" customHeight="1">
      <c r="A324" s="37">
        <v>185</v>
      </c>
      <c r="B324" s="38" t="s">
        <v>534</v>
      </c>
      <c r="C324" s="54" t="s">
        <v>535</v>
      </c>
      <c r="D324" s="40" t="s">
        <v>149</v>
      </c>
      <c r="E324" s="41" t="s">
        <v>25</v>
      </c>
      <c r="F324" s="56">
        <v>1</v>
      </c>
      <c r="G324" s="42">
        <v>23500</v>
      </c>
      <c r="H324" s="40" t="s">
        <v>63</v>
      </c>
      <c r="I324" s="31"/>
    </row>
    <row r="325" spans="1:9" ht="21" customHeight="1" hidden="1">
      <c r="A325" s="37"/>
      <c r="B325" s="45" t="s">
        <v>150</v>
      </c>
      <c r="C325" s="46"/>
      <c r="D325" s="40"/>
      <c r="E325" s="40"/>
      <c r="F325" s="40"/>
      <c r="G325" s="42">
        <f>G324</f>
        <v>23500</v>
      </c>
      <c r="H325" s="51"/>
      <c r="I325" s="31"/>
    </row>
    <row r="326" spans="1:9" ht="21" customHeight="1" hidden="1">
      <c r="A326" s="102"/>
      <c r="B326" s="103" t="s">
        <v>151</v>
      </c>
      <c r="C326" s="103"/>
      <c r="D326" s="103"/>
      <c r="E326" s="103"/>
      <c r="F326" s="103"/>
      <c r="G326" s="104"/>
      <c r="H326" s="105"/>
      <c r="I326" s="141"/>
    </row>
    <row r="327" spans="1:9" ht="15" hidden="1">
      <c r="A327" s="19"/>
      <c r="B327" s="106" t="s">
        <v>152</v>
      </c>
      <c r="C327" s="107"/>
      <c r="D327" s="108" t="s">
        <v>153</v>
      </c>
      <c r="E327" s="109"/>
      <c r="F327" s="109"/>
      <c r="G327" s="110"/>
      <c r="H327" s="8"/>
      <c r="I327" s="141"/>
    </row>
    <row r="328" spans="1:9" ht="21" customHeight="1" hidden="1">
      <c r="A328" s="19"/>
      <c r="B328" s="111"/>
      <c r="C328" s="9"/>
      <c r="D328" s="112" t="s">
        <v>154</v>
      </c>
      <c r="E328" s="113" t="s">
        <v>155</v>
      </c>
      <c r="F328" s="114"/>
      <c r="G328" s="110"/>
      <c r="H328" s="8"/>
      <c r="I328" s="141"/>
    </row>
    <row r="329" spans="1:9" ht="21" customHeight="1" hidden="1">
      <c r="A329" s="19"/>
      <c r="B329" s="115" t="s">
        <v>156</v>
      </c>
      <c r="C329" s="116"/>
      <c r="D329" s="108" t="s">
        <v>157</v>
      </c>
      <c r="E329" s="109"/>
      <c r="F329" s="109"/>
      <c r="G329" s="110"/>
      <c r="H329" s="8"/>
      <c r="I329" s="141"/>
    </row>
    <row r="330" spans="1:9" ht="21" customHeight="1" hidden="1">
      <c r="A330" s="19"/>
      <c r="B330" s="111"/>
      <c r="C330" s="9"/>
      <c r="D330" s="9"/>
      <c r="E330" s="9"/>
      <c r="F330" s="9"/>
      <c r="G330" s="110"/>
      <c r="H330" s="8"/>
      <c r="I330" s="141"/>
    </row>
    <row r="331" spans="1:9" ht="21" customHeight="1" hidden="1">
      <c r="A331" s="19"/>
      <c r="B331" s="115" t="s">
        <v>158</v>
      </c>
      <c r="C331" s="9"/>
      <c r="D331" s="9"/>
      <c r="E331" s="9"/>
      <c r="F331" s="9"/>
      <c r="G331" s="110"/>
      <c r="H331" s="8"/>
      <c r="I331" s="141"/>
    </row>
    <row r="332" spans="1:9" ht="27.75" customHeight="1" hidden="1">
      <c r="A332" s="19"/>
      <c r="B332" s="117" t="s">
        <v>159</v>
      </c>
      <c r="C332" s="9"/>
      <c r="D332" s="118" t="s">
        <v>160</v>
      </c>
      <c r="E332" s="118"/>
      <c r="F332" s="118"/>
      <c r="G332" s="110"/>
      <c r="H332" s="8"/>
      <c r="I332" s="141"/>
    </row>
    <row r="333" spans="1:9" ht="21" customHeight="1" hidden="1">
      <c r="A333" s="19"/>
      <c r="B333" s="119" t="s">
        <v>486</v>
      </c>
      <c r="C333" s="119"/>
      <c r="D333" s="119"/>
      <c r="E333" s="9"/>
      <c r="F333" s="9"/>
      <c r="G333" s="110"/>
      <c r="H333" s="8"/>
      <c r="I333" s="141"/>
    </row>
    <row r="334" spans="1:9" ht="21" customHeight="1" hidden="1">
      <c r="A334" s="19"/>
      <c r="B334" s="167"/>
      <c r="C334" s="167"/>
      <c r="D334" s="168"/>
      <c r="E334" s="168"/>
      <c r="F334" s="168"/>
      <c r="G334" s="110"/>
      <c r="H334" s="8"/>
      <c r="I334" s="141"/>
    </row>
    <row r="335" spans="1:9" ht="21" customHeight="1" hidden="1">
      <c r="A335" s="19"/>
      <c r="B335" s="167"/>
      <c r="C335" s="167"/>
      <c r="D335" s="168"/>
      <c r="E335" s="168"/>
      <c r="F335" s="168"/>
      <c r="G335" s="110"/>
      <c r="H335" s="8"/>
      <c r="I335" s="141"/>
    </row>
    <row r="336" spans="1:9" ht="32.25" customHeight="1" hidden="1">
      <c r="A336" s="19"/>
      <c r="B336" s="169"/>
      <c r="C336" s="169"/>
      <c r="D336" s="170"/>
      <c r="E336" s="170"/>
      <c r="F336" s="170"/>
      <c r="G336" s="110"/>
      <c r="H336" s="171"/>
      <c r="I336" s="141"/>
    </row>
    <row r="337" spans="1:9" ht="32.25" customHeight="1" hidden="1">
      <c r="A337" s="19"/>
      <c r="B337" s="169"/>
      <c r="C337" s="169"/>
      <c r="D337" s="170"/>
      <c r="E337" s="170"/>
      <c r="F337" s="23" t="s">
        <v>1</v>
      </c>
      <c r="G337" s="23"/>
      <c r="H337" s="171"/>
      <c r="I337" s="141"/>
    </row>
    <row r="338" spans="1:9" ht="32.25" customHeight="1" hidden="1">
      <c r="A338" s="19"/>
      <c r="B338" s="8" t="s">
        <v>0</v>
      </c>
      <c r="C338" s="169"/>
      <c r="D338" s="170"/>
      <c r="E338" s="170"/>
      <c r="F338" s="23"/>
      <c r="G338" s="23"/>
      <c r="H338" s="171"/>
      <c r="I338" s="141"/>
    </row>
    <row r="339" spans="1:9" ht="32.25" customHeight="1" hidden="1">
      <c r="A339" s="19"/>
      <c r="B339" s="169"/>
      <c r="C339" s="169"/>
      <c r="D339" s="170"/>
      <c r="E339" s="170"/>
      <c r="F339" s="170"/>
      <c r="G339" s="110"/>
      <c r="H339" s="171"/>
      <c r="I339" s="141"/>
    </row>
    <row r="340" spans="1:9" ht="63.75" customHeight="1" hidden="1">
      <c r="A340" s="172" t="s">
        <v>487</v>
      </c>
      <c r="B340" s="172"/>
      <c r="C340" s="172"/>
      <c r="D340" s="172"/>
      <c r="E340" s="172"/>
      <c r="F340" s="172"/>
      <c r="G340" s="172"/>
      <c r="H340" s="172"/>
      <c r="I340" s="172"/>
    </row>
    <row r="341" spans="1:9" s="7" customFormat="1" ht="29.25" customHeight="1">
      <c r="A341" s="35" t="s">
        <v>670</v>
      </c>
      <c r="B341" s="173"/>
      <c r="C341" s="173"/>
      <c r="D341" s="173"/>
      <c r="E341" s="173"/>
      <c r="F341" s="173"/>
      <c r="G341" s="173"/>
      <c r="H341" s="173"/>
      <c r="I341" s="173"/>
    </row>
    <row r="342" spans="3:9" ht="12" customHeight="1" hidden="1">
      <c r="C342" s="124"/>
      <c r="D342" s="125" t="s">
        <v>4</v>
      </c>
      <c r="E342" s="124"/>
      <c r="F342" s="124"/>
      <c r="H342" s="16"/>
      <c r="I342" s="16"/>
    </row>
    <row r="343" ht="15.75" customHeight="1" hidden="1"/>
    <row r="344" spans="1:11" ht="15.75" customHeight="1" hidden="1">
      <c r="A344" s="26" t="s">
        <v>5</v>
      </c>
      <c r="B344" s="27" t="s">
        <v>6</v>
      </c>
      <c r="C344" s="28" t="s">
        <v>7</v>
      </c>
      <c r="D344" s="28" t="s">
        <v>249</v>
      </c>
      <c r="E344" s="28" t="s">
        <v>9</v>
      </c>
      <c r="F344" s="28" t="s">
        <v>10</v>
      </c>
      <c r="G344" s="128" t="s">
        <v>250</v>
      </c>
      <c r="H344" s="28" t="s">
        <v>251</v>
      </c>
      <c r="I344" s="28" t="s">
        <v>13</v>
      </c>
      <c r="J344" s="71"/>
      <c r="K344" s="71"/>
    </row>
    <row r="345" spans="1:9" ht="31.5" customHeight="1" hidden="1">
      <c r="A345" s="29"/>
      <c r="B345" s="30"/>
      <c r="C345" s="31"/>
      <c r="D345" s="31"/>
      <c r="E345" s="31"/>
      <c r="F345" s="31"/>
      <c r="G345" s="129"/>
      <c r="H345" s="31"/>
      <c r="I345" s="31"/>
    </row>
    <row r="346" spans="1:9" ht="37.5" customHeight="1" hidden="1">
      <c r="A346" s="32"/>
      <c r="B346" s="33"/>
      <c r="C346" s="34"/>
      <c r="D346" s="34"/>
      <c r="E346" s="34"/>
      <c r="F346" s="34"/>
      <c r="G346" s="130"/>
      <c r="H346" s="34"/>
      <c r="I346" s="34"/>
    </row>
    <row r="347" spans="1:9" ht="20.25" customHeight="1" hidden="1">
      <c r="A347" s="32">
        <v>1</v>
      </c>
      <c r="B347" s="33">
        <v>2</v>
      </c>
      <c r="C347" s="34">
        <v>3</v>
      </c>
      <c r="D347" s="34">
        <v>4</v>
      </c>
      <c r="E347" s="34">
        <v>5</v>
      </c>
      <c r="F347" s="34">
        <v>6</v>
      </c>
      <c r="G347" s="130">
        <v>7</v>
      </c>
      <c r="H347" s="34">
        <v>8</v>
      </c>
      <c r="I347" s="72">
        <v>9</v>
      </c>
    </row>
    <row r="348" spans="1:14" ht="30" customHeight="1">
      <c r="A348" s="37">
        <v>186</v>
      </c>
      <c r="B348" s="38" t="s">
        <v>15</v>
      </c>
      <c r="C348" s="39" t="s">
        <v>16</v>
      </c>
      <c r="D348" s="40" t="s">
        <v>17</v>
      </c>
      <c r="E348" s="41" t="s">
        <v>18</v>
      </c>
      <c r="F348" s="41">
        <v>18</v>
      </c>
      <c r="G348" s="42">
        <v>3780</v>
      </c>
      <c r="H348" s="40" t="s">
        <v>63</v>
      </c>
      <c r="I348" s="73" t="s">
        <v>253</v>
      </c>
      <c r="L348" s="74">
        <f>G348-K348</f>
        <v>3780</v>
      </c>
      <c r="M348" s="12">
        <f>199-125</f>
        <v>74</v>
      </c>
      <c r="N348" s="12">
        <f>27223.2-17100</f>
        <v>10123.2</v>
      </c>
    </row>
    <row r="349" spans="1:12" ht="30" customHeight="1">
      <c r="A349" s="37">
        <v>187</v>
      </c>
      <c r="B349" s="94" t="s">
        <v>488</v>
      </c>
      <c r="C349" s="43" t="s">
        <v>24</v>
      </c>
      <c r="D349" s="40" t="s">
        <v>17</v>
      </c>
      <c r="E349" s="41" t="s">
        <v>25</v>
      </c>
      <c r="F349" s="41">
        <v>3</v>
      </c>
      <c r="G349" s="42">
        <v>369.09</v>
      </c>
      <c r="H349" s="40" t="s">
        <v>63</v>
      </c>
      <c r="I349" s="100"/>
      <c r="L349" s="74">
        <f>G349-K349</f>
        <v>369.09</v>
      </c>
    </row>
    <row r="350" spans="1:12" ht="29.25" customHeight="1">
      <c r="A350" s="37">
        <v>188</v>
      </c>
      <c r="B350" s="94" t="s">
        <v>23</v>
      </c>
      <c r="C350" s="43" t="s">
        <v>24</v>
      </c>
      <c r="D350" s="40" t="s">
        <v>17</v>
      </c>
      <c r="E350" s="41" t="s">
        <v>25</v>
      </c>
      <c r="F350" s="41">
        <v>3</v>
      </c>
      <c r="G350" s="42">
        <v>517.92</v>
      </c>
      <c r="H350" s="40" t="s">
        <v>63</v>
      </c>
      <c r="I350" s="100"/>
      <c r="L350" s="74"/>
    </row>
    <row r="351" spans="1:12" ht="30" customHeight="1">
      <c r="A351" s="37">
        <v>189</v>
      </c>
      <c r="B351" s="88" t="s">
        <v>28</v>
      </c>
      <c r="C351" s="43" t="s">
        <v>27</v>
      </c>
      <c r="D351" s="40" t="s">
        <v>17</v>
      </c>
      <c r="E351" s="41" t="s">
        <v>25</v>
      </c>
      <c r="F351" s="41">
        <v>5</v>
      </c>
      <c r="G351" s="42">
        <v>295</v>
      </c>
      <c r="H351" s="40" t="s">
        <v>63</v>
      </c>
      <c r="I351" s="100"/>
      <c r="L351" s="74">
        <f>G351-K351</f>
        <v>295</v>
      </c>
    </row>
    <row r="352" spans="1:12" ht="29.25" customHeight="1">
      <c r="A352" s="37">
        <v>190</v>
      </c>
      <c r="B352" s="174" t="s">
        <v>351</v>
      </c>
      <c r="C352" s="43" t="s">
        <v>31</v>
      </c>
      <c r="D352" s="40" t="s">
        <v>17</v>
      </c>
      <c r="E352" s="41" t="s">
        <v>22</v>
      </c>
      <c r="F352" s="41">
        <v>8</v>
      </c>
      <c r="G352" s="42">
        <v>210.08</v>
      </c>
      <c r="H352" s="40" t="s">
        <v>63</v>
      </c>
      <c r="I352" s="100"/>
      <c r="L352" s="74"/>
    </row>
    <row r="353" spans="1:12" ht="45" customHeight="1">
      <c r="A353" s="37">
        <v>191</v>
      </c>
      <c r="B353" s="88" t="s">
        <v>489</v>
      </c>
      <c r="C353" s="43" t="s">
        <v>391</v>
      </c>
      <c r="D353" s="40" t="s">
        <v>17</v>
      </c>
      <c r="E353" s="41" t="s">
        <v>25</v>
      </c>
      <c r="F353" s="41">
        <v>1</v>
      </c>
      <c r="G353" s="42">
        <v>350.16</v>
      </c>
      <c r="H353" s="40" t="s">
        <v>63</v>
      </c>
      <c r="I353" s="100"/>
      <c r="L353" s="74">
        <f>G353-K353</f>
        <v>350.16</v>
      </c>
    </row>
    <row r="354" spans="1:12" ht="29.25" customHeight="1">
      <c r="A354" s="37">
        <v>192</v>
      </c>
      <c r="B354" s="88" t="s">
        <v>291</v>
      </c>
      <c r="C354" s="43" t="s">
        <v>24</v>
      </c>
      <c r="D354" s="40" t="s">
        <v>17</v>
      </c>
      <c r="E354" s="41" t="s">
        <v>22</v>
      </c>
      <c r="F354" s="41">
        <v>15</v>
      </c>
      <c r="G354" s="42">
        <v>535.05</v>
      </c>
      <c r="H354" s="40" t="s">
        <v>63</v>
      </c>
      <c r="I354" s="100"/>
      <c r="L354" s="74"/>
    </row>
    <row r="355" spans="1:12" ht="60" customHeight="1">
      <c r="A355" s="37">
        <v>193</v>
      </c>
      <c r="B355" s="88" t="s">
        <v>490</v>
      </c>
      <c r="C355" s="43" t="s">
        <v>491</v>
      </c>
      <c r="D355" s="40" t="s">
        <v>17</v>
      </c>
      <c r="E355" s="41" t="s">
        <v>25</v>
      </c>
      <c r="F355" s="41">
        <v>1</v>
      </c>
      <c r="G355" s="42">
        <v>471.21</v>
      </c>
      <c r="H355" s="40" t="s">
        <v>63</v>
      </c>
      <c r="I355" s="100"/>
      <c r="L355" s="74">
        <f>G355-K355</f>
        <v>471.21</v>
      </c>
    </row>
    <row r="356" spans="1:12" ht="29.25" customHeight="1">
      <c r="A356" s="37">
        <v>194</v>
      </c>
      <c r="B356" s="88" t="s">
        <v>492</v>
      </c>
      <c r="C356" s="43" t="s">
        <v>493</v>
      </c>
      <c r="D356" s="40" t="s">
        <v>17</v>
      </c>
      <c r="E356" s="41" t="s">
        <v>25</v>
      </c>
      <c r="F356" s="41">
        <v>2</v>
      </c>
      <c r="G356" s="42">
        <v>481.14</v>
      </c>
      <c r="H356" s="40" t="s">
        <v>63</v>
      </c>
      <c r="I356" s="100"/>
      <c r="L356" s="74"/>
    </row>
    <row r="357" spans="1:12" ht="30" customHeight="1">
      <c r="A357" s="37">
        <v>195</v>
      </c>
      <c r="B357" s="94" t="s">
        <v>494</v>
      </c>
      <c r="C357" s="43" t="s">
        <v>197</v>
      </c>
      <c r="D357" s="40" t="s">
        <v>17</v>
      </c>
      <c r="E357" s="41" t="s">
        <v>22</v>
      </c>
      <c r="F357" s="41">
        <v>2</v>
      </c>
      <c r="G357" s="42">
        <v>942.26</v>
      </c>
      <c r="H357" s="40" t="s">
        <v>63</v>
      </c>
      <c r="I357" s="100"/>
      <c r="L357" s="74">
        <f>G357-K357</f>
        <v>942.26</v>
      </c>
    </row>
    <row r="358" spans="1:12" ht="45" customHeight="1">
      <c r="A358" s="37">
        <v>196</v>
      </c>
      <c r="B358" s="94" t="s">
        <v>292</v>
      </c>
      <c r="C358" s="43" t="s">
        <v>47</v>
      </c>
      <c r="D358" s="40" t="s">
        <v>17</v>
      </c>
      <c r="E358" s="41" t="s">
        <v>48</v>
      </c>
      <c r="F358" s="41">
        <v>12</v>
      </c>
      <c r="G358" s="42">
        <v>664.92</v>
      </c>
      <c r="H358" s="40" t="s">
        <v>63</v>
      </c>
      <c r="I358" s="100"/>
      <c r="L358" s="74"/>
    </row>
    <row r="359" spans="1:12" ht="30" customHeight="1">
      <c r="A359" s="37">
        <v>197</v>
      </c>
      <c r="B359" s="94" t="s">
        <v>51</v>
      </c>
      <c r="C359" s="43" t="s">
        <v>52</v>
      </c>
      <c r="D359" s="40" t="s">
        <v>17</v>
      </c>
      <c r="E359" s="41" t="s">
        <v>25</v>
      </c>
      <c r="F359" s="41">
        <v>60</v>
      </c>
      <c r="G359" s="42">
        <v>1194.6</v>
      </c>
      <c r="H359" s="40" t="s">
        <v>63</v>
      </c>
      <c r="I359" s="100"/>
      <c r="L359" s="74">
        <f>G359-K359</f>
        <v>1194.6</v>
      </c>
    </row>
    <row r="360" spans="1:12" ht="29.25" customHeight="1">
      <c r="A360" s="37">
        <v>198</v>
      </c>
      <c r="B360" s="154" t="s">
        <v>495</v>
      </c>
      <c r="C360" s="43" t="s">
        <v>496</v>
      </c>
      <c r="D360" s="40" t="s">
        <v>17</v>
      </c>
      <c r="E360" s="41" t="s">
        <v>25</v>
      </c>
      <c r="F360" s="41">
        <v>10</v>
      </c>
      <c r="G360" s="42">
        <v>28500</v>
      </c>
      <c r="H360" s="40" t="s">
        <v>63</v>
      </c>
      <c r="I360" s="100"/>
      <c r="L360" s="74"/>
    </row>
    <row r="361" spans="1:12" ht="29.25" customHeight="1">
      <c r="A361" s="37">
        <v>199</v>
      </c>
      <c r="B361" s="88" t="s">
        <v>497</v>
      </c>
      <c r="C361" s="43" t="s">
        <v>294</v>
      </c>
      <c r="D361" s="40" t="s">
        <v>17</v>
      </c>
      <c r="E361" s="41" t="s">
        <v>25</v>
      </c>
      <c r="F361" s="41">
        <v>36</v>
      </c>
      <c r="G361" s="42">
        <v>46800</v>
      </c>
      <c r="H361" s="40" t="s">
        <v>63</v>
      </c>
      <c r="I361" s="100"/>
      <c r="L361" s="74"/>
    </row>
    <row r="362" spans="1:12" ht="30" customHeight="1">
      <c r="A362" s="37">
        <v>200</v>
      </c>
      <c r="B362" s="175" t="s">
        <v>498</v>
      </c>
      <c r="C362" s="43" t="s">
        <v>33</v>
      </c>
      <c r="D362" s="40" t="s">
        <v>17</v>
      </c>
      <c r="E362" s="41" t="s">
        <v>313</v>
      </c>
      <c r="F362" s="41">
        <v>160</v>
      </c>
      <c r="G362" s="42">
        <v>16000</v>
      </c>
      <c r="H362" s="40" t="s">
        <v>63</v>
      </c>
      <c r="I362" s="100"/>
      <c r="L362" s="74">
        <f>G362-K362</f>
        <v>16000</v>
      </c>
    </row>
    <row r="363" spans="1:12" ht="29.25" customHeight="1">
      <c r="A363" s="37">
        <v>201</v>
      </c>
      <c r="B363" s="176" t="s">
        <v>499</v>
      </c>
      <c r="C363" s="43" t="s">
        <v>339</v>
      </c>
      <c r="D363" s="40" t="s">
        <v>17</v>
      </c>
      <c r="E363" s="41" t="s">
        <v>25</v>
      </c>
      <c r="F363" s="41">
        <v>12</v>
      </c>
      <c r="G363" s="42">
        <v>264</v>
      </c>
      <c r="H363" s="40" t="s">
        <v>63</v>
      </c>
      <c r="I363" s="100"/>
      <c r="L363" s="74"/>
    </row>
    <row r="364" spans="1:12" ht="30" customHeight="1">
      <c r="A364" s="37">
        <v>202</v>
      </c>
      <c r="B364" s="176" t="s">
        <v>500</v>
      </c>
      <c r="C364" s="43" t="s">
        <v>339</v>
      </c>
      <c r="D364" s="40" t="s">
        <v>17</v>
      </c>
      <c r="E364" s="41" t="s">
        <v>25</v>
      </c>
      <c r="F364" s="41">
        <v>9</v>
      </c>
      <c r="G364" s="42">
        <v>198</v>
      </c>
      <c r="H364" s="40" t="s">
        <v>63</v>
      </c>
      <c r="I364" s="100"/>
      <c r="L364" s="74">
        <f>G364-K364</f>
        <v>198</v>
      </c>
    </row>
    <row r="365" spans="1:12" ht="29.25" customHeight="1">
      <c r="A365" s="37">
        <v>203</v>
      </c>
      <c r="B365" s="97" t="s">
        <v>501</v>
      </c>
      <c r="C365" s="43" t="s">
        <v>204</v>
      </c>
      <c r="D365" s="40" t="s">
        <v>17</v>
      </c>
      <c r="E365" s="41" t="s">
        <v>25</v>
      </c>
      <c r="F365" s="41">
        <v>26</v>
      </c>
      <c r="G365" s="42">
        <v>2093.78</v>
      </c>
      <c r="H365" s="40" t="s">
        <v>63</v>
      </c>
      <c r="I365" s="100"/>
      <c r="L365" s="74"/>
    </row>
    <row r="366" spans="1:12" ht="45" customHeight="1">
      <c r="A366" s="37">
        <v>204</v>
      </c>
      <c r="B366" s="97" t="s">
        <v>502</v>
      </c>
      <c r="C366" s="43" t="s">
        <v>204</v>
      </c>
      <c r="D366" s="40" t="s">
        <v>17</v>
      </c>
      <c r="E366" s="41" t="s">
        <v>25</v>
      </c>
      <c r="F366" s="41">
        <v>17</v>
      </c>
      <c r="G366" s="42">
        <v>372.64</v>
      </c>
      <c r="H366" s="40" t="s">
        <v>63</v>
      </c>
      <c r="I366" s="100"/>
      <c r="L366" s="74">
        <f>G366-K366</f>
        <v>372.64</v>
      </c>
    </row>
    <row r="367" spans="1:12" ht="29.25" customHeight="1">
      <c r="A367" s="37">
        <v>205</v>
      </c>
      <c r="B367" s="97" t="s">
        <v>503</v>
      </c>
      <c r="C367" s="43" t="s">
        <v>504</v>
      </c>
      <c r="D367" s="40" t="s">
        <v>17</v>
      </c>
      <c r="E367" s="41" t="s">
        <v>25</v>
      </c>
      <c r="F367" s="41">
        <v>5</v>
      </c>
      <c r="G367" s="42">
        <v>2141</v>
      </c>
      <c r="H367" s="40" t="s">
        <v>63</v>
      </c>
      <c r="I367" s="100"/>
      <c r="L367" s="74"/>
    </row>
    <row r="368" spans="1:12" ht="45" customHeight="1">
      <c r="A368" s="37">
        <v>206</v>
      </c>
      <c r="B368" s="97" t="s">
        <v>505</v>
      </c>
      <c r="C368" s="43" t="s">
        <v>204</v>
      </c>
      <c r="D368" s="40" t="s">
        <v>17</v>
      </c>
      <c r="E368" s="41" t="s">
        <v>25</v>
      </c>
      <c r="F368" s="41">
        <v>21</v>
      </c>
      <c r="G368" s="42">
        <v>5228.16</v>
      </c>
      <c r="H368" s="40" t="s">
        <v>63</v>
      </c>
      <c r="I368" s="100"/>
      <c r="L368" s="74">
        <f>G368-K368</f>
        <v>5228.16</v>
      </c>
    </row>
    <row r="369" spans="1:12" ht="30" customHeight="1">
      <c r="A369" s="37">
        <v>207</v>
      </c>
      <c r="B369" s="97" t="s">
        <v>506</v>
      </c>
      <c r="C369" s="43" t="s">
        <v>204</v>
      </c>
      <c r="D369" s="40" t="s">
        <v>17</v>
      </c>
      <c r="E369" s="41" t="s">
        <v>205</v>
      </c>
      <c r="F369" s="41">
        <v>152.5</v>
      </c>
      <c r="G369" s="42">
        <v>53420.75</v>
      </c>
      <c r="H369" s="40" t="s">
        <v>63</v>
      </c>
      <c r="I369" s="100"/>
      <c r="L369" s="74"/>
    </row>
    <row r="370" spans="1:12" ht="60" customHeight="1">
      <c r="A370" s="37">
        <v>208</v>
      </c>
      <c r="B370" s="97" t="s">
        <v>507</v>
      </c>
      <c r="C370" s="43" t="s">
        <v>508</v>
      </c>
      <c r="D370" s="40" t="s">
        <v>17</v>
      </c>
      <c r="E370" s="41" t="s">
        <v>25</v>
      </c>
      <c r="F370" s="41">
        <v>49</v>
      </c>
      <c r="G370" s="42">
        <v>25970</v>
      </c>
      <c r="H370" s="40" t="s">
        <v>63</v>
      </c>
      <c r="I370" s="100"/>
      <c r="L370" s="74">
        <f>G370-K370</f>
        <v>25970</v>
      </c>
    </row>
    <row r="371" spans="1:12" ht="29.25" customHeight="1">
      <c r="A371" s="37">
        <v>209</v>
      </c>
      <c r="B371" s="97" t="s">
        <v>509</v>
      </c>
      <c r="C371" s="43" t="s">
        <v>197</v>
      </c>
      <c r="D371" s="40" t="s">
        <v>17</v>
      </c>
      <c r="E371" s="41" t="s">
        <v>22</v>
      </c>
      <c r="F371" s="41">
        <v>2</v>
      </c>
      <c r="G371" s="42">
        <v>90</v>
      </c>
      <c r="H371" s="40" t="s">
        <v>63</v>
      </c>
      <c r="I371" s="100"/>
      <c r="L371" s="74"/>
    </row>
    <row r="372" spans="1:12" ht="30" customHeight="1">
      <c r="A372" s="37">
        <v>210</v>
      </c>
      <c r="B372" s="97" t="s">
        <v>510</v>
      </c>
      <c r="C372" s="43" t="s">
        <v>197</v>
      </c>
      <c r="D372" s="40" t="s">
        <v>17</v>
      </c>
      <c r="E372" s="41" t="s">
        <v>25</v>
      </c>
      <c r="F372" s="41">
        <v>1200</v>
      </c>
      <c r="G372" s="42">
        <v>1116</v>
      </c>
      <c r="H372" s="40" t="s">
        <v>63</v>
      </c>
      <c r="I372" s="100"/>
      <c r="L372" s="74">
        <f>G372-K372</f>
        <v>1116</v>
      </c>
    </row>
    <row r="373" spans="1:12" ht="29.25" customHeight="1">
      <c r="A373" s="37">
        <v>211</v>
      </c>
      <c r="B373" s="97" t="s">
        <v>511</v>
      </c>
      <c r="C373" s="43" t="s">
        <v>179</v>
      </c>
      <c r="D373" s="40" t="s">
        <v>17</v>
      </c>
      <c r="E373" s="41" t="s">
        <v>25</v>
      </c>
      <c r="F373" s="41">
        <f>5+3</f>
        <v>8</v>
      </c>
      <c r="G373" s="42">
        <f>525+270.92</f>
        <v>795.9200000000001</v>
      </c>
      <c r="H373" s="40" t="s">
        <v>63</v>
      </c>
      <c r="I373" s="100"/>
      <c r="L373" s="74"/>
    </row>
    <row r="374" spans="1:12" ht="30" customHeight="1">
      <c r="A374" s="37">
        <v>212</v>
      </c>
      <c r="B374" s="38" t="s">
        <v>57</v>
      </c>
      <c r="C374" s="40" t="s">
        <v>58</v>
      </c>
      <c r="D374" s="40" t="s">
        <v>17</v>
      </c>
      <c r="E374" s="41" t="s">
        <v>25</v>
      </c>
      <c r="F374" s="41">
        <v>1</v>
      </c>
      <c r="G374" s="42">
        <v>2500.2</v>
      </c>
      <c r="H374" s="155" t="s">
        <v>19</v>
      </c>
      <c r="I374" s="100"/>
      <c r="L374" s="74"/>
    </row>
    <row r="375" spans="1:12" ht="45" customHeight="1">
      <c r="A375" s="37">
        <v>213</v>
      </c>
      <c r="B375" s="177" t="s">
        <v>466</v>
      </c>
      <c r="C375" s="43" t="s">
        <v>204</v>
      </c>
      <c r="D375" s="40" t="s">
        <v>17</v>
      </c>
      <c r="E375" s="41" t="s">
        <v>205</v>
      </c>
      <c r="F375" s="41">
        <v>31.262</v>
      </c>
      <c r="G375" s="42">
        <v>80062.92</v>
      </c>
      <c r="H375" s="40" t="s">
        <v>63</v>
      </c>
      <c r="I375" s="100"/>
      <c r="L375" s="74">
        <f>G375-K375</f>
        <v>80062.92</v>
      </c>
    </row>
    <row r="376" spans="1:12" ht="45" customHeight="1">
      <c r="A376" s="37">
        <v>214</v>
      </c>
      <c r="B376" s="177" t="s">
        <v>512</v>
      </c>
      <c r="C376" s="43" t="s">
        <v>168</v>
      </c>
      <c r="D376" s="40" t="s">
        <v>17</v>
      </c>
      <c r="E376" s="41" t="s">
        <v>25</v>
      </c>
      <c r="F376" s="41">
        <v>10</v>
      </c>
      <c r="G376" s="42">
        <v>3200</v>
      </c>
      <c r="H376" s="40" t="s">
        <v>63</v>
      </c>
      <c r="I376" s="100"/>
      <c r="L376" s="74"/>
    </row>
    <row r="377" spans="1:12" ht="45" customHeight="1">
      <c r="A377" s="37">
        <v>215</v>
      </c>
      <c r="B377" s="177" t="s">
        <v>513</v>
      </c>
      <c r="C377" s="43" t="s">
        <v>204</v>
      </c>
      <c r="D377" s="40" t="s">
        <v>17</v>
      </c>
      <c r="E377" s="41" t="s">
        <v>205</v>
      </c>
      <c r="F377" s="41">
        <v>6.72</v>
      </c>
      <c r="G377" s="42">
        <v>6115.2</v>
      </c>
      <c r="H377" s="40" t="s">
        <v>63</v>
      </c>
      <c r="I377" s="100"/>
      <c r="L377" s="74">
        <f>G377-K377</f>
        <v>6115.2</v>
      </c>
    </row>
    <row r="378" spans="1:12" ht="29.25" customHeight="1">
      <c r="A378" s="37">
        <v>216</v>
      </c>
      <c r="B378" s="177" t="s">
        <v>208</v>
      </c>
      <c r="C378" s="43" t="s">
        <v>209</v>
      </c>
      <c r="D378" s="40" t="s">
        <v>17</v>
      </c>
      <c r="E378" s="41" t="s">
        <v>25</v>
      </c>
      <c r="F378" s="41">
        <v>15.4</v>
      </c>
      <c r="G378" s="42">
        <v>2922</v>
      </c>
      <c r="H378" s="40" t="s">
        <v>63</v>
      </c>
      <c r="I378" s="100"/>
      <c r="L378" s="74"/>
    </row>
    <row r="379" spans="1:12" ht="30" customHeight="1" hidden="1">
      <c r="A379" s="37"/>
      <c r="B379" s="86" t="s">
        <v>59</v>
      </c>
      <c r="C379" s="46"/>
      <c r="D379" s="40"/>
      <c r="E379" s="41"/>
      <c r="F379" s="41"/>
      <c r="G379" s="42">
        <f>SUM(G348:G378)</f>
        <v>287602.00000000006</v>
      </c>
      <c r="H379" s="51"/>
      <c r="I379" s="100"/>
      <c r="L379" s="74"/>
    </row>
    <row r="380" spans="1:12" ht="30" customHeight="1">
      <c r="A380" s="37">
        <v>217</v>
      </c>
      <c r="B380" s="38" t="s">
        <v>216</v>
      </c>
      <c r="C380" s="40" t="s">
        <v>217</v>
      </c>
      <c r="D380" s="40" t="s">
        <v>62</v>
      </c>
      <c r="E380" s="41" t="s">
        <v>34</v>
      </c>
      <c r="F380" s="69">
        <v>99</v>
      </c>
      <c r="G380" s="42">
        <v>1889.7</v>
      </c>
      <c r="H380" s="40" t="s">
        <v>63</v>
      </c>
      <c r="I380" s="100"/>
      <c r="L380" s="74"/>
    </row>
    <row r="381" spans="1:12" ht="30" customHeight="1">
      <c r="A381" s="37">
        <v>218</v>
      </c>
      <c r="B381" s="38" t="s">
        <v>64</v>
      </c>
      <c r="C381" s="40" t="s">
        <v>65</v>
      </c>
      <c r="D381" s="40" t="s">
        <v>62</v>
      </c>
      <c r="E381" s="41" t="s">
        <v>34</v>
      </c>
      <c r="F381" s="69">
        <v>750</v>
      </c>
      <c r="G381" s="42">
        <v>12775</v>
      </c>
      <c r="H381" s="40" t="s">
        <v>63</v>
      </c>
      <c r="I381" s="100"/>
      <c r="L381" s="74"/>
    </row>
    <row r="382" spans="1:12" ht="30" customHeight="1">
      <c r="A382" s="37">
        <v>219</v>
      </c>
      <c r="B382" s="40" t="s">
        <v>269</v>
      </c>
      <c r="C382" s="40" t="s">
        <v>270</v>
      </c>
      <c r="D382" s="40" t="s">
        <v>62</v>
      </c>
      <c r="E382" s="41" t="s">
        <v>34</v>
      </c>
      <c r="F382" s="69">
        <v>1</v>
      </c>
      <c r="G382" s="42">
        <v>374.4</v>
      </c>
      <c r="H382" s="40" t="s">
        <v>63</v>
      </c>
      <c r="I382" s="100"/>
      <c r="L382" s="74"/>
    </row>
    <row r="383" spans="1:12" ht="30" customHeight="1">
      <c r="A383" s="37">
        <v>220</v>
      </c>
      <c r="B383" s="38" t="s">
        <v>71</v>
      </c>
      <c r="C383" s="71" t="s">
        <v>72</v>
      </c>
      <c r="D383" s="40" t="s">
        <v>62</v>
      </c>
      <c r="E383" s="41" t="s">
        <v>34</v>
      </c>
      <c r="F383" s="69">
        <v>80</v>
      </c>
      <c r="G383" s="42">
        <v>1258</v>
      </c>
      <c r="H383" s="40" t="s">
        <v>63</v>
      </c>
      <c r="I383" s="100"/>
      <c r="L383" s="74"/>
    </row>
    <row r="384" spans="1:12" ht="30" customHeight="1">
      <c r="A384" s="37">
        <v>221</v>
      </c>
      <c r="B384" s="38" t="s">
        <v>73</v>
      </c>
      <c r="C384" s="40" t="s">
        <v>74</v>
      </c>
      <c r="D384" s="40" t="s">
        <v>62</v>
      </c>
      <c r="E384" s="41" t="s">
        <v>34</v>
      </c>
      <c r="F384" s="69">
        <v>75</v>
      </c>
      <c r="G384" s="42">
        <v>1760</v>
      </c>
      <c r="H384" s="40" t="s">
        <v>63</v>
      </c>
      <c r="I384" s="100"/>
      <c r="L384" s="74"/>
    </row>
    <row r="385" spans="1:12" ht="30" customHeight="1">
      <c r="A385" s="37">
        <v>222</v>
      </c>
      <c r="B385" s="38" t="s">
        <v>75</v>
      </c>
      <c r="C385" s="71" t="s">
        <v>76</v>
      </c>
      <c r="D385" s="40" t="s">
        <v>62</v>
      </c>
      <c r="E385" s="41" t="s">
        <v>77</v>
      </c>
      <c r="F385" s="69">
        <v>10</v>
      </c>
      <c r="G385" s="42">
        <v>748</v>
      </c>
      <c r="H385" s="40" t="s">
        <v>63</v>
      </c>
      <c r="I385" s="100"/>
      <c r="L385" s="74"/>
    </row>
    <row r="386" spans="1:12" ht="30" customHeight="1">
      <c r="A386" s="37">
        <v>223</v>
      </c>
      <c r="B386" s="38" t="s">
        <v>78</v>
      </c>
      <c r="C386" s="40" t="s">
        <v>79</v>
      </c>
      <c r="D386" s="40" t="s">
        <v>62</v>
      </c>
      <c r="E386" s="41" t="s">
        <v>34</v>
      </c>
      <c r="F386" s="69">
        <v>35</v>
      </c>
      <c r="G386" s="42">
        <v>10775</v>
      </c>
      <c r="H386" s="40" t="s">
        <v>63</v>
      </c>
      <c r="I386" s="100"/>
      <c r="L386" s="74"/>
    </row>
    <row r="387" spans="1:12" ht="30" customHeight="1">
      <c r="A387" s="37">
        <v>224</v>
      </c>
      <c r="B387" s="38" t="s">
        <v>80</v>
      </c>
      <c r="C387" s="40" t="s">
        <v>81</v>
      </c>
      <c r="D387" s="40" t="s">
        <v>62</v>
      </c>
      <c r="E387" s="41" t="s">
        <v>82</v>
      </c>
      <c r="F387" s="69">
        <f>75.6</f>
        <v>75.6</v>
      </c>
      <c r="G387" s="42">
        <v>3057.84</v>
      </c>
      <c r="H387" s="40" t="s">
        <v>63</v>
      </c>
      <c r="I387" s="100"/>
      <c r="L387" s="74"/>
    </row>
    <row r="388" spans="1:12" ht="30" customHeight="1">
      <c r="A388" s="37">
        <v>225</v>
      </c>
      <c r="B388" s="38" t="s">
        <v>83</v>
      </c>
      <c r="C388" s="40" t="s">
        <v>72</v>
      </c>
      <c r="D388" s="40" t="s">
        <v>62</v>
      </c>
      <c r="E388" s="41" t="s">
        <v>34</v>
      </c>
      <c r="F388" s="69">
        <v>90</v>
      </c>
      <c r="G388" s="42">
        <v>2337</v>
      </c>
      <c r="H388" s="40" t="s">
        <v>63</v>
      </c>
      <c r="I388" s="100"/>
      <c r="L388" s="74"/>
    </row>
    <row r="389" spans="1:12" ht="30" customHeight="1">
      <c r="A389" s="37">
        <v>226</v>
      </c>
      <c r="B389" s="38" t="s">
        <v>514</v>
      </c>
      <c r="C389" s="40" t="s">
        <v>85</v>
      </c>
      <c r="D389" s="40" t="s">
        <v>62</v>
      </c>
      <c r="E389" s="41" t="s">
        <v>25</v>
      </c>
      <c r="F389" s="69">
        <v>10</v>
      </c>
      <c r="G389" s="42">
        <v>1440</v>
      </c>
      <c r="H389" s="40" t="s">
        <v>63</v>
      </c>
      <c r="I389" s="100"/>
      <c r="L389" s="74"/>
    </row>
    <row r="390" spans="1:12" ht="30" customHeight="1">
      <c r="A390" s="37">
        <v>227</v>
      </c>
      <c r="B390" s="38" t="s">
        <v>665</v>
      </c>
      <c r="C390" s="40" t="s">
        <v>666</v>
      </c>
      <c r="D390" s="40" t="s">
        <v>62</v>
      </c>
      <c r="E390" s="41" t="s">
        <v>34</v>
      </c>
      <c r="F390" s="69">
        <f>39+122</f>
        <v>161</v>
      </c>
      <c r="G390" s="42">
        <v>21582</v>
      </c>
      <c r="H390" s="40" t="s">
        <v>63</v>
      </c>
      <c r="I390" s="100"/>
      <c r="L390" s="74"/>
    </row>
    <row r="391" spans="1:12" ht="30" customHeight="1">
      <c r="A391" s="37">
        <v>228</v>
      </c>
      <c r="B391" s="38" t="s">
        <v>468</v>
      </c>
      <c r="C391" s="40" t="s">
        <v>85</v>
      </c>
      <c r="D391" s="40" t="s">
        <v>62</v>
      </c>
      <c r="E391" s="41" t="s">
        <v>25</v>
      </c>
      <c r="F391" s="69">
        <v>10</v>
      </c>
      <c r="G391" s="42">
        <v>1440</v>
      </c>
      <c r="H391" s="40" t="s">
        <v>63</v>
      </c>
      <c r="I391" s="100"/>
      <c r="L391" s="74"/>
    </row>
    <row r="392" spans="1:12" ht="30" customHeight="1">
      <c r="A392" s="37">
        <v>229</v>
      </c>
      <c r="B392" s="38" t="s">
        <v>88</v>
      </c>
      <c r="C392" s="40" t="s">
        <v>85</v>
      </c>
      <c r="D392" s="40" t="s">
        <v>62</v>
      </c>
      <c r="E392" s="41" t="s">
        <v>34</v>
      </c>
      <c r="F392" s="69">
        <v>35</v>
      </c>
      <c r="G392" s="42">
        <v>4315.5</v>
      </c>
      <c r="H392" s="40" t="s">
        <v>63</v>
      </c>
      <c r="I392" s="100"/>
      <c r="L392" s="74"/>
    </row>
    <row r="393" spans="1:12" ht="30" customHeight="1">
      <c r="A393" s="37">
        <v>230</v>
      </c>
      <c r="B393" s="38" t="s">
        <v>89</v>
      </c>
      <c r="C393" s="40" t="s">
        <v>90</v>
      </c>
      <c r="D393" s="40" t="s">
        <v>62</v>
      </c>
      <c r="E393" s="41" t="s">
        <v>34</v>
      </c>
      <c r="F393" s="69">
        <v>85</v>
      </c>
      <c r="G393" s="42">
        <v>4224.5</v>
      </c>
      <c r="H393" s="40" t="s">
        <v>63</v>
      </c>
      <c r="I393" s="100"/>
      <c r="L393" s="74"/>
    </row>
    <row r="394" spans="1:12" ht="30" customHeight="1">
      <c r="A394" s="37">
        <v>231</v>
      </c>
      <c r="B394" s="38" t="s">
        <v>91</v>
      </c>
      <c r="C394" s="40" t="s">
        <v>92</v>
      </c>
      <c r="D394" s="40" t="s">
        <v>62</v>
      </c>
      <c r="E394" s="41" t="s">
        <v>34</v>
      </c>
      <c r="F394" s="69">
        <v>80</v>
      </c>
      <c r="G394" s="42">
        <v>13376</v>
      </c>
      <c r="H394" s="40" t="s">
        <v>63</v>
      </c>
      <c r="I394" s="100"/>
      <c r="L394" s="74"/>
    </row>
    <row r="395" spans="1:12" ht="30" customHeight="1">
      <c r="A395" s="37">
        <v>232</v>
      </c>
      <c r="B395" s="38" t="s">
        <v>222</v>
      </c>
      <c r="C395" s="40" t="s">
        <v>223</v>
      </c>
      <c r="D395" s="40" t="s">
        <v>62</v>
      </c>
      <c r="E395" s="41" t="s">
        <v>34</v>
      </c>
      <c r="F395" s="69">
        <v>50</v>
      </c>
      <c r="G395" s="42">
        <v>976</v>
      </c>
      <c r="H395" s="40" t="s">
        <v>63</v>
      </c>
      <c r="I395" s="100"/>
      <c r="L395" s="74"/>
    </row>
    <row r="396" spans="1:12" ht="30" customHeight="1">
      <c r="A396" s="37">
        <v>233</v>
      </c>
      <c r="B396" s="38" t="s">
        <v>93</v>
      </c>
      <c r="C396" s="40" t="s">
        <v>94</v>
      </c>
      <c r="D396" s="40" t="s">
        <v>62</v>
      </c>
      <c r="E396" s="41" t="s">
        <v>34</v>
      </c>
      <c r="F396" s="69">
        <f>-1.9+45.98</f>
        <v>44.08</v>
      </c>
      <c r="G396" s="42">
        <v>6222.31</v>
      </c>
      <c r="H396" s="40" t="s">
        <v>63</v>
      </c>
      <c r="I396" s="100"/>
      <c r="L396" s="74"/>
    </row>
    <row r="397" spans="1:12" ht="30" customHeight="1">
      <c r="A397" s="37">
        <v>234</v>
      </c>
      <c r="B397" s="38" t="s">
        <v>224</v>
      </c>
      <c r="C397" s="40" t="s">
        <v>225</v>
      </c>
      <c r="D397" s="40" t="s">
        <v>62</v>
      </c>
      <c r="E397" s="41" t="s">
        <v>34</v>
      </c>
      <c r="F397" s="69">
        <v>10</v>
      </c>
      <c r="G397" s="42">
        <v>126.1</v>
      </c>
      <c r="H397" s="40" t="s">
        <v>63</v>
      </c>
      <c r="I397" s="100"/>
      <c r="L397" s="74"/>
    </row>
    <row r="398" spans="1:12" ht="30" customHeight="1">
      <c r="A398" s="37">
        <v>235</v>
      </c>
      <c r="B398" s="40" t="s">
        <v>226</v>
      </c>
      <c r="C398" s="40" t="s">
        <v>227</v>
      </c>
      <c r="D398" s="40" t="s">
        <v>62</v>
      </c>
      <c r="E398" s="41" t="s">
        <v>34</v>
      </c>
      <c r="F398" s="69">
        <v>10</v>
      </c>
      <c r="G398" s="42">
        <v>1387</v>
      </c>
      <c r="H398" s="40" t="s">
        <v>63</v>
      </c>
      <c r="I398" s="100"/>
      <c r="L398" s="74"/>
    </row>
    <row r="399" spans="1:12" ht="30" customHeight="1">
      <c r="A399" s="37">
        <v>236</v>
      </c>
      <c r="B399" s="40" t="s">
        <v>276</v>
      </c>
      <c r="C399" s="40" t="s">
        <v>277</v>
      </c>
      <c r="D399" s="40" t="s">
        <v>62</v>
      </c>
      <c r="E399" s="41" t="s">
        <v>34</v>
      </c>
      <c r="F399" s="69">
        <v>10</v>
      </c>
      <c r="G399" s="42">
        <v>1827</v>
      </c>
      <c r="H399" s="40" t="s">
        <v>63</v>
      </c>
      <c r="I399" s="100"/>
      <c r="L399" s="74"/>
    </row>
    <row r="400" spans="1:12" ht="30" customHeight="1">
      <c r="A400" s="37">
        <v>237</v>
      </c>
      <c r="B400" s="40" t="s">
        <v>95</v>
      </c>
      <c r="C400" s="40" t="s">
        <v>96</v>
      </c>
      <c r="D400" s="40" t="s">
        <v>62</v>
      </c>
      <c r="E400" s="41" t="s">
        <v>34</v>
      </c>
      <c r="F400" s="69">
        <v>210</v>
      </c>
      <c r="G400" s="42">
        <v>43922</v>
      </c>
      <c r="H400" s="40" t="s">
        <v>63</v>
      </c>
      <c r="I400" s="100"/>
      <c r="L400" s="74"/>
    </row>
    <row r="401" spans="1:12" ht="30" customHeight="1">
      <c r="A401" s="37">
        <v>238</v>
      </c>
      <c r="B401" s="40" t="s">
        <v>667</v>
      </c>
      <c r="C401" s="40" t="s">
        <v>668</v>
      </c>
      <c r="D401" s="40" t="s">
        <v>62</v>
      </c>
      <c r="E401" s="41" t="s">
        <v>34</v>
      </c>
      <c r="F401" s="69">
        <v>150</v>
      </c>
      <c r="G401" s="42">
        <v>33239.75</v>
      </c>
      <c r="H401" s="40" t="s">
        <v>63</v>
      </c>
      <c r="I401" s="100"/>
      <c r="L401" s="74"/>
    </row>
    <row r="402" spans="1:12" ht="45" customHeight="1">
      <c r="A402" s="37">
        <v>239</v>
      </c>
      <c r="B402" s="54" t="s">
        <v>98</v>
      </c>
      <c r="C402" s="40" t="s">
        <v>61</v>
      </c>
      <c r="D402" s="40" t="s">
        <v>62</v>
      </c>
      <c r="E402" s="41" t="s">
        <v>25</v>
      </c>
      <c r="F402" s="69">
        <v>950</v>
      </c>
      <c r="G402" s="42">
        <v>12025.9</v>
      </c>
      <c r="H402" s="40" t="s">
        <v>63</v>
      </c>
      <c r="I402" s="100"/>
      <c r="L402" s="74"/>
    </row>
    <row r="403" spans="1:12" ht="30" customHeight="1">
      <c r="A403" s="37">
        <v>240</v>
      </c>
      <c r="B403" s="40" t="s">
        <v>99</v>
      </c>
      <c r="C403" s="40" t="s">
        <v>100</v>
      </c>
      <c r="D403" s="40" t="s">
        <v>62</v>
      </c>
      <c r="E403" s="41" t="s">
        <v>34</v>
      </c>
      <c r="F403" s="69">
        <v>95.5</v>
      </c>
      <c r="G403" s="42">
        <v>29168.6</v>
      </c>
      <c r="H403" s="40" t="s">
        <v>63</v>
      </c>
      <c r="I403" s="100"/>
      <c r="L403" s="74"/>
    </row>
    <row r="404" spans="1:12" ht="30" customHeight="1">
      <c r="A404" s="37">
        <v>241</v>
      </c>
      <c r="B404" s="40" t="s">
        <v>228</v>
      </c>
      <c r="C404" s="40" t="s">
        <v>229</v>
      </c>
      <c r="D404" s="40" t="s">
        <v>62</v>
      </c>
      <c r="E404" s="41" t="s">
        <v>34</v>
      </c>
      <c r="F404" s="69">
        <v>100</v>
      </c>
      <c r="G404" s="42">
        <v>4348</v>
      </c>
      <c r="H404" s="40" t="s">
        <v>63</v>
      </c>
      <c r="I404" s="100"/>
      <c r="L404" s="74"/>
    </row>
    <row r="405" spans="1:12" ht="30" customHeight="1">
      <c r="A405" s="37">
        <v>242</v>
      </c>
      <c r="B405" s="40" t="s">
        <v>103</v>
      </c>
      <c r="C405" s="40" t="s">
        <v>104</v>
      </c>
      <c r="D405" s="40" t="s">
        <v>62</v>
      </c>
      <c r="E405" s="41" t="s">
        <v>25</v>
      </c>
      <c r="F405" s="69">
        <v>2300</v>
      </c>
      <c r="G405" s="42">
        <v>10672</v>
      </c>
      <c r="H405" s="40" t="s">
        <v>63</v>
      </c>
      <c r="I405" s="100"/>
      <c r="L405" s="74"/>
    </row>
    <row r="406" spans="1:12" ht="30" customHeight="1">
      <c r="A406" s="37">
        <v>243</v>
      </c>
      <c r="B406" s="40" t="s">
        <v>230</v>
      </c>
      <c r="C406" s="40" t="s">
        <v>231</v>
      </c>
      <c r="D406" s="40" t="s">
        <v>62</v>
      </c>
      <c r="E406" s="41" t="s">
        <v>77</v>
      </c>
      <c r="F406" s="69">
        <v>60</v>
      </c>
      <c r="G406" s="42">
        <v>3516</v>
      </c>
      <c r="H406" s="40" t="s">
        <v>63</v>
      </c>
      <c r="I406" s="100"/>
      <c r="L406" s="74"/>
    </row>
    <row r="407" spans="1:12" ht="30" customHeight="1">
      <c r="A407" s="37">
        <v>244</v>
      </c>
      <c r="B407" s="38" t="s">
        <v>220</v>
      </c>
      <c r="C407" s="40" t="s">
        <v>221</v>
      </c>
      <c r="D407" s="40" t="s">
        <v>62</v>
      </c>
      <c r="E407" s="41" t="s">
        <v>34</v>
      </c>
      <c r="F407" s="69">
        <v>35</v>
      </c>
      <c r="G407" s="42">
        <v>469</v>
      </c>
      <c r="H407" s="40" t="s">
        <v>63</v>
      </c>
      <c r="I407" s="100"/>
      <c r="L407" s="74"/>
    </row>
    <row r="408" spans="1:12" ht="30" customHeight="1">
      <c r="A408" s="37">
        <v>245</v>
      </c>
      <c r="B408" s="38" t="s">
        <v>105</v>
      </c>
      <c r="C408" s="40" t="s">
        <v>70</v>
      </c>
      <c r="D408" s="40" t="s">
        <v>62</v>
      </c>
      <c r="E408" s="41" t="s">
        <v>34</v>
      </c>
      <c r="F408" s="69">
        <v>75</v>
      </c>
      <c r="G408" s="42">
        <v>2542.5</v>
      </c>
      <c r="H408" s="40" t="s">
        <v>63</v>
      </c>
      <c r="I408" s="100"/>
      <c r="L408" s="74"/>
    </row>
    <row r="409" spans="1:12" ht="30" customHeight="1">
      <c r="A409" s="37">
        <v>246</v>
      </c>
      <c r="B409" s="38" t="s">
        <v>268</v>
      </c>
      <c r="C409" s="40" t="s">
        <v>70</v>
      </c>
      <c r="D409" s="40" t="s">
        <v>62</v>
      </c>
      <c r="E409" s="41" t="s">
        <v>34</v>
      </c>
      <c r="F409" s="69">
        <v>10</v>
      </c>
      <c r="G409" s="42">
        <v>204.9</v>
      </c>
      <c r="H409" s="40" t="s">
        <v>63</v>
      </c>
      <c r="I409" s="100"/>
      <c r="L409" s="74"/>
    </row>
    <row r="410" spans="1:12" ht="30" customHeight="1" hidden="1">
      <c r="A410" s="37"/>
      <c r="B410" s="178" t="s">
        <v>106</v>
      </c>
      <c r="C410" s="179"/>
      <c r="D410" s="40"/>
      <c r="E410" s="41"/>
      <c r="F410" s="180"/>
      <c r="G410" s="42">
        <f>SUM(G380:G409)</f>
        <v>232000</v>
      </c>
      <c r="H410" s="40"/>
      <c r="I410" s="100"/>
      <c r="L410" s="74"/>
    </row>
    <row r="411" spans="1:12" ht="30" customHeight="1">
      <c r="A411" s="37">
        <v>247</v>
      </c>
      <c r="B411" s="38" t="s">
        <v>235</v>
      </c>
      <c r="C411" s="40" t="s">
        <v>116</v>
      </c>
      <c r="D411" s="40" t="s">
        <v>109</v>
      </c>
      <c r="E411" s="41" t="s">
        <v>113</v>
      </c>
      <c r="F411" s="50" t="s">
        <v>117</v>
      </c>
      <c r="G411" s="42">
        <v>492</v>
      </c>
      <c r="H411" s="40" t="s">
        <v>63</v>
      </c>
      <c r="I411" s="100"/>
      <c r="K411" s="12">
        <f>154</f>
        <v>154</v>
      </c>
      <c r="L411" s="74">
        <f aca="true" t="shared" si="7" ref="L411:L420">G411-K411</f>
        <v>338</v>
      </c>
    </row>
    <row r="412" spans="1:12" ht="30" customHeight="1">
      <c r="A412" s="37">
        <v>248</v>
      </c>
      <c r="B412" s="38" t="s">
        <v>433</v>
      </c>
      <c r="C412" s="40" t="s">
        <v>234</v>
      </c>
      <c r="D412" s="40" t="s">
        <v>109</v>
      </c>
      <c r="E412" s="41" t="s">
        <v>113</v>
      </c>
      <c r="F412" s="41" t="s">
        <v>117</v>
      </c>
      <c r="G412" s="42">
        <v>1050</v>
      </c>
      <c r="H412" s="40" t="s">
        <v>63</v>
      </c>
      <c r="I412" s="100"/>
      <c r="K412" s="12">
        <f>350</f>
        <v>350</v>
      </c>
      <c r="L412" s="74">
        <f t="shared" si="7"/>
        <v>700</v>
      </c>
    </row>
    <row r="413" spans="1:12" ht="30" customHeight="1">
      <c r="A413" s="37">
        <v>249</v>
      </c>
      <c r="B413" s="98" t="s">
        <v>515</v>
      </c>
      <c r="C413" s="99" t="s">
        <v>112</v>
      </c>
      <c r="D413" s="99" t="s">
        <v>109</v>
      </c>
      <c r="E413" s="162" t="s">
        <v>113</v>
      </c>
      <c r="F413" s="50" t="s">
        <v>516</v>
      </c>
      <c r="G413" s="42">
        <v>7200</v>
      </c>
      <c r="H413" s="40" t="s">
        <v>63</v>
      </c>
      <c r="I413" s="100"/>
      <c r="K413" s="12">
        <v>1500</v>
      </c>
      <c r="L413" s="74">
        <f t="shared" si="7"/>
        <v>5700</v>
      </c>
    </row>
    <row r="414" spans="1:12" ht="30" customHeight="1">
      <c r="A414" s="37">
        <v>250</v>
      </c>
      <c r="B414" s="38" t="s">
        <v>130</v>
      </c>
      <c r="C414" s="40" t="s">
        <v>131</v>
      </c>
      <c r="D414" s="40" t="s">
        <v>109</v>
      </c>
      <c r="E414" s="41" t="s">
        <v>25</v>
      </c>
      <c r="F414" s="50">
        <v>4</v>
      </c>
      <c r="G414" s="42">
        <v>1060</v>
      </c>
      <c r="H414" s="40" t="s">
        <v>19</v>
      </c>
      <c r="I414" s="100"/>
      <c r="L414" s="74">
        <f t="shared" si="7"/>
        <v>1060</v>
      </c>
    </row>
    <row r="415" spans="1:12" ht="30" customHeight="1">
      <c r="A415" s="37">
        <v>251</v>
      </c>
      <c r="B415" s="38" t="s">
        <v>130</v>
      </c>
      <c r="C415" s="40" t="s">
        <v>131</v>
      </c>
      <c r="D415" s="40" t="s">
        <v>109</v>
      </c>
      <c r="E415" s="41" t="s">
        <v>25</v>
      </c>
      <c r="F415" s="50">
        <v>5</v>
      </c>
      <c r="G415" s="42">
        <v>1325</v>
      </c>
      <c r="H415" s="40" t="s">
        <v>132</v>
      </c>
      <c r="I415" s="100"/>
      <c r="L415" s="74">
        <f t="shared" si="7"/>
        <v>1325</v>
      </c>
    </row>
    <row r="416" spans="1:12" ht="30" customHeight="1">
      <c r="A416" s="37">
        <v>252</v>
      </c>
      <c r="B416" s="98" t="s">
        <v>318</v>
      </c>
      <c r="C416" s="99" t="s">
        <v>108</v>
      </c>
      <c r="D416" s="99" t="s">
        <v>109</v>
      </c>
      <c r="E416" s="162" t="s">
        <v>110</v>
      </c>
      <c r="F416" s="50">
        <v>12</v>
      </c>
      <c r="G416" s="42">
        <v>1132.8</v>
      </c>
      <c r="H416" s="40" t="s">
        <v>63</v>
      </c>
      <c r="I416" s="100"/>
      <c r="K416" s="12">
        <v>283.2</v>
      </c>
      <c r="L416" s="74">
        <f t="shared" si="7"/>
        <v>849.5999999999999</v>
      </c>
    </row>
    <row r="417" spans="1:12" ht="45" customHeight="1">
      <c r="A417" s="37">
        <v>253</v>
      </c>
      <c r="B417" s="38" t="s">
        <v>236</v>
      </c>
      <c r="C417" s="40" t="s">
        <v>119</v>
      </c>
      <c r="D417" s="40" t="s">
        <v>109</v>
      </c>
      <c r="E417" s="41" t="s">
        <v>120</v>
      </c>
      <c r="F417" s="41" t="s">
        <v>121</v>
      </c>
      <c r="G417" s="42">
        <v>8913.74</v>
      </c>
      <c r="H417" s="40" t="s">
        <v>63</v>
      </c>
      <c r="I417" s="100"/>
      <c r="K417" s="12">
        <f>2679.34</f>
        <v>2679.34</v>
      </c>
      <c r="L417" s="74">
        <f t="shared" si="7"/>
        <v>6234.4</v>
      </c>
    </row>
    <row r="418" spans="1:12" ht="30" customHeight="1">
      <c r="A418" s="37">
        <v>254</v>
      </c>
      <c r="B418" s="98" t="s">
        <v>296</v>
      </c>
      <c r="C418" s="99" t="s">
        <v>326</v>
      </c>
      <c r="D418" s="40" t="s">
        <v>109</v>
      </c>
      <c r="E418" s="41" t="s">
        <v>113</v>
      </c>
      <c r="F418" s="41" t="s">
        <v>117</v>
      </c>
      <c r="G418" s="42">
        <v>1413</v>
      </c>
      <c r="H418" s="40" t="s">
        <v>63</v>
      </c>
      <c r="I418" s="100"/>
      <c r="K418" s="12">
        <f>470.96</f>
        <v>470.96</v>
      </c>
      <c r="L418" s="74">
        <f t="shared" si="7"/>
        <v>942.04</v>
      </c>
    </row>
    <row r="419" spans="1:12" ht="30" customHeight="1">
      <c r="A419" s="37">
        <v>255</v>
      </c>
      <c r="B419" s="98" t="s">
        <v>484</v>
      </c>
      <c r="C419" s="99" t="s">
        <v>242</v>
      </c>
      <c r="D419" s="40" t="s">
        <v>109</v>
      </c>
      <c r="E419" s="40" t="s">
        <v>113</v>
      </c>
      <c r="F419" s="41">
        <v>1</v>
      </c>
      <c r="G419" s="42">
        <v>25860</v>
      </c>
      <c r="H419" s="40" t="s">
        <v>63</v>
      </c>
      <c r="I419" s="100"/>
      <c r="L419" s="74"/>
    </row>
    <row r="420" spans="1:12" ht="30" customHeight="1">
      <c r="A420" s="37">
        <v>256</v>
      </c>
      <c r="B420" s="38" t="s">
        <v>286</v>
      </c>
      <c r="C420" s="40" t="s">
        <v>239</v>
      </c>
      <c r="D420" s="40" t="s">
        <v>109</v>
      </c>
      <c r="E420" s="41" t="s">
        <v>285</v>
      </c>
      <c r="F420" s="41">
        <v>589.6</v>
      </c>
      <c r="G420" s="42">
        <v>1745.22</v>
      </c>
      <c r="H420" s="40" t="s">
        <v>19</v>
      </c>
      <c r="I420" s="100"/>
      <c r="L420" s="74">
        <f t="shared" si="7"/>
        <v>1745.22</v>
      </c>
    </row>
    <row r="421" spans="1:12" ht="30" customHeight="1">
      <c r="A421" s="37">
        <v>257</v>
      </c>
      <c r="B421" s="38" t="s">
        <v>127</v>
      </c>
      <c r="C421" s="40" t="s">
        <v>239</v>
      </c>
      <c r="D421" s="40" t="s">
        <v>109</v>
      </c>
      <c r="E421" s="41" t="s">
        <v>285</v>
      </c>
      <c r="F421" s="41">
        <v>1028</v>
      </c>
      <c r="G421" s="42">
        <v>2652.24</v>
      </c>
      <c r="H421" s="40" t="s">
        <v>19</v>
      </c>
      <c r="I421" s="100"/>
      <c r="L421" s="74"/>
    </row>
    <row r="422" spans="1:12" ht="32.25" customHeight="1" hidden="1">
      <c r="A422" s="37">
        <v>262</v>
      </c>
      <c r="B422" s="45" t="s">
        <v>136</v>
      </c>
      <c r="C422" s="46"/>
      <c r="D422" s="40"/>
      <c r="E422" s="41"/>
      <c r="F422" s="41"/>
      <c r="G422" s="42">
        <f>SUM(G411:G421)</f>
        <v>52844</v>
      </c>
      <c r="H422" s="51"/>
      <c r="I422" s="100"/>
      <c r="K422" s="74">
        <f>SUM(K411:K421)</f>
        <v>5437.5</v>
      </c>
      <c r="L422" s="74">
        <f>SUM(L348:L421)</f>
        <v>161359.5</v>
      </c>
    </row>
    <row r="423" spans="1:12" ht="30" customHeight="1">
      <c r="A423" s="37">
        <v>258</v>
      </c>
      <c r="B423" s="38" t="s">
        <v>137</v>
      </c>
      <c r="C423" s="52" t="s">
        <v>138</v>
      </c>
      <c r="D423" s="40" t="s">
        <v>139</v>
      </c>
      <c r="E423" s="41" t="s">
        <v>140</v>
      </c>
      <c r="F423" s="53">
        <f>G423/2878.55</f>
        <v>129.1518299143666</v>
      </c>
      <c r="G423" s="42">
        <v>371770</v>
      </c>
      <c r="H423" s="40" t="s">
        <v>63</v>
      </c>
      <c r="I423" s="100"/>
      <c r="K423" s="74">
        <f>226780.04</f>
        <v>226780.04</v>
      </c>
      <c r="L423" s="74"/>
    </row>
    <row r="424" spans="1:12" ht="32.25" customHeight="1" hidden="1">
      <c r="A424" s="37">
        <v>264</v>
      </c>
      <c r="B424" s="45" t="s">
        <v>141</v>
      </c>
      <c r="C424" s="46"/>
      <c r="D424" s="40"/>
      <c r="E424" s="41"/>
      <c r="F424" s="41"/>
      <c r="G424" s="42">
        <f>SUM(G423:G423)</f>
        <v>371770</v>
      </c>
      <c r="H424" s="51"/>
      <c r="I424" s="100"/>
      <c r="K424" s="74"/>
      <c r="L424" s="74"/>
    </row>
    <row r="425" spans="1:9" ht="30" customHeight="1">
      <c r="A425" s="37">
        <v>259</v>
      </c>
      <c r="B425" s="38" t="s">
        <v>485</v>
      </c>
      <c r="C425" s="54" t="s">
        <v>245</v>
      </c>
      <c r="D425" s="40" t="s">
        <v>246</v>
      </c>
      <c r="E425" s="41" t="s">
        <v>110</v>
      </c>
      <c r="F425" s="53">
        <v>310.73</v>
      </c>
      <c r="G425" s="42">
        <v>3952.46</v>
      </c>
      <c r="H425" s="40" t="s">
        <v>63</v>
      </c>
      <c r="I425" s="100"/>
    </row>
    <row r="426" spans="1:9" ht="30" customHeight="1">
      <c r="A426" s="37">
        <v>260</v>
      </c>
      <c r="B426" s="38" t="s">
        <v>517</v>
      </c>
      <c r="C426" s="55" t="s">
        <v>518</v>
      </c>
      <c r="D426" s="40" t="s">
        <v>246</v>
      </c>
      <c r="E426" s="41" t="s">
        <v>110</v>
      </c>
      <c r="F426" s="53">
        <v>310.73</v>
      </c>
      <c r="G426" s="42">
        <v>4244.54</v>
      </c>
      <c r="H426" s="40" t="s">
        <v>63</v>
      </c>
      <c r="I426" s="100"/>
    </row>
    <row r="427" spans="1:9" ht="21" customHeight="1" hidden="1">
      <c r="A427" s="37">
        <v>267</v>
      </c>
      <c r="B427" s="45" t="s">
        <v>247</v>
      </c>
      <c r="C427" s="46"/>
      <c r="D427" s="40"/>
      <c r="E427" s="41"/>
      <c r="F427" s="41"/>
      <c r="G427" s="42">
        <f>SUM(G425:G426)</f>
        <v>8197</v>
      </c>
      <c r="H427" s="51"/>
      <c r="I427" s="100"/>
    </row>
    <row r="428" spans="1:11" ht="30" customHeight="1">
      <c r="A428" s="37">
        <v>261</v>
      </c>
      <c r="B428" s="38" t="s">
        <v>142</v>
      </c>
      <c r="C428" s="54" t="s">
        <v>143</v>
      </c>
      <c r="D428" s="40" t="s">
        <v>144</v>
      </c>
      <c r="E428" s="41" t="s">
        <v>145</v>
      </c>
      <c r="F428" s="56">
        <f>G428/4.14243</f>
        <v>13673.375289383284</v>
      </c>
      <c r="G428" s="42">
        <v>56641</v>
      </c>
      <c r="H428" s="40" t="s">
        <v>63</v>
      </c>
      <c r="I428" s="100"/>
      <c r="K428" s="74">
        <f>16723.1+1365.83</f>
        <v>18088.93</v>
      </c>
    </row>
    <row r="429" spans="1:9" ht="21" customHeight="1" hidden="1">
      <c r="A429" s="37"/>
      <c r="B429" s="45" t="s">
        <v>146</v>
      </c>
      <c r="C429" s="46"/>
      <c r="D429" s="40"/>
      <c r="E429" s="40"/>
      <c r="F429" s="40"/>
      <c r="G429" s="42">
        <f>G428</f>
        <v>56641</v>
      </c>
      <c r="H429" s="51"/>
      <c r="I429" s="100"/>
    </row>
    <row r="430" spans="1:10" ht="32.25" customHeight="1" hidden="1">
      <c r="A430" s="19"/>
      <c r="B430" s="103" t="s">
        <v>151</v>
      </c>
      <c r="C430" s="103"/>
      <c r="D430" s="103"/>
      <c r="E430" s="103"/>
      <c r="F430" s="103"/>
      <c r="G430" s="181"/>
      <c r="H430" s="103"/>
      <c r="I430" s="103"/>
      <c r="J430" s="103"/>
    </row>
    <row r="431" spans="1:10" ht="32.25" customHeight="1" hidden="1">
      <c r="A431" s="19"/>
      <c r="B431" s="106" t="s">
        <v>152</v>
      </c>
      <c r="C431" s="107"/>
      <c r="D431" s="108" t="s">
        <v>153</v>
      </c>
      <c r="E431" s="109"/>
      <c r="F431" s="109"/>
      <c r="G431" s="182"/>
      <c r="H431" s="183"/>
      <c r="I431" s="70"/>
      <c r="J431" s="9"/>
    </row>
    <row r="432" spans="1:10" ht="15" customHeight="1" hidden="1">
      <c r="A432" s="19"/>
      <c r="B432" s="111"/>
      <c r="C432" s="9"/>
      <c r="D432" s="112" t="s">
        <v>154</v>
      </c>
      <c r="E432" s="113" t="s">
        <v>155</v>
      </c>
      <c r="F432" s="114"/>
      <c r="G432" s="182"/>
      <c r="H432" s="183"/>
      <c r="I432" s="70"/>
      <c r="J432" s="9"/>
    </row>
    <row r="433" spans="1:10" ht="32.25" customHeight="1" hidden="1">
      <c r="A433" s="19"/>
      <c r="B433" s="115" t="s">
        <v>156</v>
      </c>
      <c r="C433" s="116"/>
      <c r="D433" s="108" t="s">
        <v>157</v>
      </c>
      <c r="E433" s="109"/>
      <c r="F433" s="109"/>
      <c r="G433" s="182"/>
      <c r="H433" s="183"/>
      <c r="I433" s="70"/>
      <c r="J433" s="9"/>
    </row>
    <row r="434" spans="1:10" ht="32.25" customHeight="1" hidden="1">
      <c r="A434" s="19"/>
      <c r="B434" s="111"/>
      <c r="C434" s="9"/>
      <c r="D434" s="9"/>
      <c r="E434" s="9"/>
      <c r="F434" s="9"/>
      <c r="G434" s="182"/>
      <c r="H434" s="183"/>
      <c r="I434" s="70"/>
      <c r="J434" s="9"/>
    </row>
    <row r="435" spans="1:10" ht="32.25" customHeight="1" hidden="1">
      <c r="A435" s="19"/>
      <c r="B435" s="115" t="s">
        <v>158</v>
      </c>
      <c r="C435" s="9"/>
      <c r="D435" s="9"/>
      <c r="E435" s="9"/>
      <c r="F435" s="9"/>
      <c r="G435" s="182"/>
      <c r="H435" s="183"/>
      <c r="I435" s="70"/>
      <c r="J435" s="9"/>
    </row>
    <row r="436" spans="1:10" ht="32.25" customHeight="1" hidden="1">
      <c r="A436" s="19"/>
      <c r="B436" s="184" t="s">
        <v>159</v>
      </c>
      <c r="C436" s="9"/>
      <c r="D436" s="118" t="s">
        <v>160</v>
      </c>
      <c r="E436" s="118"/>
      <c r="F436" s="118"/>
      <c r="G436" s="182"/>
      <c r="H436" s="183"/>
      <c r="I436" s="70"/>
      <c r="J436" s="9"/>
    </row>
    <row r="437" spans="1:10" ht="32.25" customHeight="1" hidden="1">
      <c r="A437" s="19"/>
      <c r="B437" s="119" t="s">
        <v>486</v>
      </c>
      <c r="C437" s="119"/>
      <c r="D437" s="119"/>
      <c r="E437" s="9"/>
      <c r="F437" s="9"/>
      <c r="G437" s="182"/>
      <c r="H437" s="183"/>
      <c r="I437" s="70"/>
      <c r="J437" s="9"/>
    </row>
    <row r="438" spans="1:10" ht="32.25" customHeight="1" hidden="1">
      <c r="A438" s="19"/>
      <c r="B438" s="185"/>
      <c r="C438" s="186"/>
      <c r="D438" s="187"/>
      <c r="E438" s="188"/>
      <c r="F438" s="187"/>
      <c r="G438" s="189"/>
      <c r="H438" s="188"/>
      <c r="I438" s="201"/>
      <c r="J438" s="186"/>
    </row>
    <row r="439" spans="1:10" s="8" customFormat="1" ht="32.25" customHeight="1" hidden="1">
      <c r="A439" s="19"/>
      <c r="B439" s="190"/>
      <c r="C439" s="187"/>
      <c r="D439" s="187"/>
      <c r="E439" s="188"/>
      <c r="F439" s="23" t="s">
        <v>1</v>
      </c>
      <c r="G439" s="23"/>
      <c r="H439" s="188"/>
      <c r="I439" s="201"/>
      <c r="J439" s="187"/>
    </row>
    <row r="440" spans="1:10" s="8" customFormat="1" ht="32.25" customHeight="1" hidden="1">
      <c r="A440" s="19"/>
      <c r="B440" s="190" t="s">
        <v>687</v>
      </c>
      <c r="C440" s="187"/>
      <c r="D440" s="187"/>
      <c r="E440" s="188"/>
      <c r="F440" s="23"/>
      <c r="G440" s="23"/>
      <c r="H440" s="188"/>
      <c r="I440" s="201"/>
      <c r="J440" s="187"/>
    </row>
    <row r="441" spans="1:10" s="8" customFormat="1" ht="32.25" customHeight="1" hidden="1">
      <c r="A441" s="191" t="s">
        <v>469</v>
      </c>
      <c r="B441" s="191"/>
      <c r="C441" s="191"/>
      <c r="D441" s="191"/>
      <c r="E441" s="191"/>
      <c r="F441" s="191"/>
      <c r="G441" s="191"/>
      <c r="H441" s="191"/>
      <c r="I441" s="191"/>
      <c r="J441" s="202"/>
    </row>
    <row r="442" spans="1:10" s="8" customFormat="1" ht="32.25" customHeight="1" hidden="1">
      <c r="A442" s="191"/>
      <c r="B442" s="191"/>
      <c r="C442" s="191"/>
      <c r="D442" s="191"/>
      <c r="E442" s="191"/>
      <c r="F442" s="191"/>
      <c r="G442" s="191"/>
      <c r="H442" s="191"/>
      <c r="I442" s="191"/>
      <c r="J442" s="202"/>
    </row>
    <row r="443" spans="1:9" s="7" customFormat="1" ht="29.25" customHeight="1">
      <c r="A443" s="35" t="s">
        <v>470</v>
      </c>
      <c r="B443" s="173"/>
      <c r="C443" s="173"/>
      <c r="D443" s="173"/>
      <c r="E443" s="173"/>
      <c r="F443" s="173"/>
      <c r="G443" s="173"/>
      <c r="H443" s="173"/>
      <c r="I443" s="173"/>
    </row>
    <row r="444" spans="3:9" ht="12" customHeight="1" hidden="1">
      <c r="C444" s="124"/>
      <c r="D444" s="125" t="s">
        <v>4</v>
      </c>
      <c r="E444" s="124"/>
      <c r="F444" s="124"/>
      <c r="H444" s="16"/>
      <c r="I444" s="16"/>
    </row>
    <row r="445" ht="7.5" customHeight="1" hidden="1">
      <c r="F445" s="3"/>
    </row>
    <row r="446" spans="1:11" s="9" customFormat="1" ht="15.75" customHeight="1" hidden="1">
      <c r="A446" s="192" t="s">
        <v>5</v>
      </c>
      <c r="B446" s="193" t="s">
        <v>6</v>
      </c>
      <c r="C446" s="90" t="s">
        <v>7</v>
      </c>
      <c r="D446" s="90" t="s">
        <v>688</v>
      </c>
      <c r="E446" s="90" t="s">
        <v>9</v>
      </c>
      <c r="F446" s="90" t="s">
        <v>10</v>
      </c>
      <c r="G446" s="194" t="s">
        <v>689</v>
      </c>
      <c r="H446" s="90" t="s">
        <v>690</v>
      </c>
      <c r="I446" s="90" t="s">
        <v>13</v>
      </c>
      <c r="J446" s="111"/>
      <c r="K446" s="111"/>
    </row>
    <row r="447" spans="1:9" s="9" customFormat="1" ht="31.5" customHeight="1" hidden="1">
      <c r="A447" s="195"/>
      <c r="B447" s="196"/>
      <c r="C447" s="91"/>
      <c r="D447" s="91"/>
      <c r="E447" s="91"/>
      <c r="F447" s="91"/>
      <c r="G447" s="197"/>
      <c r="H447" s="91"/>
      <c r="I447" s="91"/>
    </row>
    <row r="448" spans="1:9" s="9" customFormat="1" ht="37.5" customHeight="1" hidden="1">
      <c r="A448" s="198"/>
      <c r="B448" s="199"/>
      <c r="C448" s="92"/>
      <c r="D448" s="92"/>
      <c r="E448" s="92"/>
      <c r="F448" s="92"/>
      <c r="G448" s="200"/>
      <c r="H448" s="92"/>
      <c r="I448" s="92"/>
    </row>
    <row r="449" spans="1:15" ht="15.75" customHeight="1" hidden="1">
      <c r="A449" s="32">
        <v>1</v>
      </c>
      <c r="B449" s="33">
        <v>2</v>
      </c>
      <c r="C449" s="34">
        <v>3</v>
      </c>
      <c r="D449" s="34">
        <v>4</v>
      </c>
      <c r="E449" s="34">
        <v>5</v>
      </c>
      <c r="F449" s="34">
        <v>6</v>
      </c>
      <c r="G449" s="130">
        <v>7</v>
      </c>
      <c r="H449" s="34">
        <v>8</v>
      </c>
      <c r="I449" s="72">
        <v>9</v>
      </c>
      <c r="O449" s="12" t="s">
        <v>471</v>
      </c>
    </row>
    <row r="450" spans="1:12" s="5" customFormat="1" ht="30" customHeight="1">
      <c r="A450" s="37">
        <v>262</v>
      </c>
      <c r="B450" s="38" t="s">
        <v>15</v>
      </c>
      <c r="C450" s="133" t="s">
        <v>16</v>
      </c>
      <c r="D450" s="40" t="s">
        <v>17</v>
      </c>
      <c r="E450" s="40" t="s">
        <v>18</v>
      </c>
      <c r="F450" s="41">
        <v>17</v>
      </c>
      <c r="G450" s="42">
        <v>3570</v>
      </c>
      <c r="H450" s="40" t="s">
        <v>19</v>
      </c>
      <c r="I450" s="205" t="s">
        <v>253</v>
      </c>
      <c r="L450" s="165">
        <f>G450-K450</f>
        <v>3570</v>
      </c>
    </row>
    <row r="451" spans="1:9" s="5" customFormat="1" ht="30" customHeight="1">
      <c r="A451" s="37">
        <v>263</v>
      </c>
      <c r="B451" s="38" t="s">
        <v>472</v>
      </c>
      <c r="C451" s="40" t="s">
        <v>24</v>
      </c>
      <c r="D451" s="40" t="s">
        <v>17</v>
      </c>
      <c r="E451" s="41" t="s">
        <v>25</v>
      </c>
      <c r="F451" s="56">
        <v>2</v>
      </c>
      <c r="G451" s="42">
        <v>348.1</v>
      </c>
      <c r="H451" s="40" t="s">
        <v>19</v>
      </c>
      <c r="I451" s="206"/>
    </row>
    <row r="452" spans="1:12" ht="30" customHeight="1">
      <c r="A452" s="37">
        <v>264</v>
      </c>
      <c r="B452" s="38" t="s">
        <v>422</v>
      </c>
      <c r="C452" s="40" t="s">
        <v>27</v>
      </c>
      <c r="D452" s="40" t="s">
        <v>17</v>
      </c>
      <c r="E452" s="41" t="s">
        <v>25</v>
      </c>
      <c r="F452" s="41">
        <v>19</v>
      </c>
      <c r="G452" s="42">
        <v>1127.65</v>
      </c>
      <c r="H452" s="40" t="s">
        <v>19</v>
      </c>
      <c r="I452" s="206"/>
      <c r="L452" s="74">
        <f>G452-K452</f>
        <v>1127.65</v>
      </c>
    </row>
    <row r="453" spans="1:12" ht="45" customHeight="1">
      <c r="A453" s="37">
        <v>265</v>
      </c>
      <c r="B453" s="98" t="s">
        <v>473</v>
      </c>
      <c r="C453" s="99" t="s">
        <v>27</v>
      </c>
      <c r="D453" s="40" t="s">
        <v>17</v>
      </c>
      <c r="E453" s="41" t="s">
        <v>22</v>
      </c>
      <c r="F453" s="41">
        <v>2</v>
      </c>
      <c r="G453" s="42">
        <v>345</v>
      </c>
      <c r="H453" s="40" t="s">
        <v>19</v>
      </c>
      <c r="I453" s="206"/>
      <c r="L453" s="74">
        <f>G453-K453</f>
        <v>345</v>
      </c>
    </row>
    <row r="454" spans="1:12" ht="30" customHeight="1">
      <c r="A454" s="37">
        <v>266</v>
      </c>
      <c r="B454" s="98" t="s">
        <v>343</v>
      </c>
      <c r="C454" s="203" t="s">
        <v>179</v>
      </c>
      <c r="D454" s="40" t="s">
        <v>17</v>
      </c>
      <c r="E454" s="41" t="s">
        <v>25</v>
      </c>
      <c r="F454" s="41">
        <v>3</v>
      </c>
      <c r="G454" s="42">
        <v>258.06</v>
      </c>
      <c r="H454" s="40" t="s">
        <v>19</v>
      </c>
      <c r="I454" s="206"/>
      <c r="L454" s="74"/>
    </row>
    <row r="455" spans="1:9" s="5" customFormat="1" ht="45" customHeight="1">
      <c r="A455" s="37">
        <v>267</v>
      </c>
      <c r="B455" s="38" t="s">
        <v>474</v>
      </c>
      <c r="C455" s="40" t="s">
        <v>38</v>
      </c>
      <c r="D455" s="40" t="s">
        <v>17</v>
      </c>
      <c r="E455" s="41" t="s">
        <v>25</v>
      </c>
      <c r="F455" s="56">
        <v>1</v>
      </c>
      <c r="G455" s="42">
        <v>1170</v>
      </c>
      <c r="H455" s="40" t="s">
        <v>19</v>
      </c>
      <c r="I455" s="206"/>
    </row>
    <row r="456" spans="1:9" s="5" customFormat="1" ht="30" customHeight="1">
      <c r="A456" s="37">
        <v>268</v>
      </c>
      <c r="B456" s="38" t="s">
        <v>51</v>
      </c>
      <c r="C456" s="40" t="s">
        <v>52</v>
      </c>
      <c r="D456" s="40" t="s">
        <v>17</v>
      </c>
      <c r="E456" s="41" t="s">
        <v>25</v>
      </c>
      <c r="F456" s="56">
        <v>21</v>
      </c>
      <c r="G456" s="42">
        <v>417.9</v>
      </c>
      <c r="H456" s="40" t="s">
        <v>19</v>
      </c>
      <c r="I456" s="206"/>
    </row>
    <row r="457" spans="1:9" s="5" customFormat="1" ht="30" customHeight="1">
      <c r="A457" s="37">
        <v>269</v>
      </c>
      <c r="B457" s="40" t="s">
        <v>475</v>
      </c>
      <c r="C457" s="38" t="s">
        <v>44</v>
      </c>
      <c r="D457" s="40" t="s">
        <v>17</v>
      </c>
      <c r="E457" s="41" t="s">
        <v>25</v>
      </c>
      <c r="F457" s="56">
        <v>5</v>
      </c>
      <c r="G457" s="42">
        <v>1450</v>
      </c>
      <c r="H457" s="40" t="s">
        <v>19</v>
      </c>
      <c r="I457" s="206"/>
    </row>
    <row r="458" spans="1:9" s="5" customFormat="1" ht="45" customHeight="1">
      <c r="A458" s="37">
        <v>270</v>
      </c>
      <c r="B458" s="40" t="s">
        <v>476</v>
      </c>
      <c r="C458" s="38" t="s">
        <v>44</v>
      </c>
      <c r="D458" s="40" t="s">
        <v>17</v>
      </c>
      <c r="E458" s="41" t="s">
        <v>25</v>
      </c>
      <c r="F458" s="56">
        <v>1</v>
      </c>
      <c r="G458" s="42">
        <v>360</v>
      </c>
      <c r="H458" s="40" t="s">
        <v>19</v>
      </c>
      <c r="I458" s="206"/>
    </row>
    <row r="459" spans="1:9" s="5" customFormat="1" ht="30" customHeight="1">
      <c r="A459" s="37">
        <v>271</v>
      </c>
      <c r="B459" s="40" t="s">
        <v>477</v>
      </c>
      <c r="C459" s="38" t="s">
        <v>44</v>
      </c>
      <c r="D459" s="40" t="s">
        <v>17</v>
      </c>
      <c r="E459" s="41" t="s">
        <v>25</v>
      </c>
      <c r="F459" s="56">
        <v>1</v>
      </c>
      <c r="G459" s="42">
        <v>450</v>
      </c>
      <c r="H459" s="40" t="s">
        <v>19</v>
      </c>
      <c r="I459" s="206"/>
    </row>
    <row r="460" spans="1:9" s="5" customFormat="1" ht="30" customHeight="1">
      <c r="A460" s="37">
        <v>272</v>
      </c>
      <c r="B460" s="40" t="s">
        <v>478</v>
      </c>
      <c r="C460" s="38" t="s">
        <v>42</v>
      </c>
      <c r="D460" s="40" t="s">
        <v>17</v>
      </c>
      <c r="E460" s="41" t="s">
        <v>25</v>
      </c>
      <c r="F460" s="56">
        <v>1</v>
      </c>
      <c r="G460" s="42">
        <v>56.7</v>
      </c>
      <c r="H460" s="40" t="s">
        <v>19</v>
      </c>
      <c r="I460" s="206"/>
    </row>
    <row r="461" spans="1:9" s="5" customFormat="1" ht="30" customHeight="1">
      <c r="A461" s="37">
        <v>273</v>
      </c>
      <c r="B461" s="40" t="s">
        <v>41</v>
      </c>
      <c r="C461" s="38" t="s">
        <v>42</v>
      </c>
      <c r="D461" s="40" t="s">
        <v>17</v>
      </c>
      <c r="E461" s="41" t="s">
        <v>25</v>
      </c>
      <c r="F461" s="56">
        <v>3</v>
      </c>
      <c r="G461" s="42">
        <v>456</v>
      </c>
      <c r="H461" s="40" t="s">
        <v>19</v>
      </c>
      <c r="I461" s="206"/>
    </row>
    <row r="462" spans="1:9" s="5" customFormat="1" ht="45" customHeight="1">
      <c r="A462" s="37">
        <v>274</v>
      </c>
      <c r="B462" s="40" t="s">
        <v>479</v>
      </c>
      <c r="C462" s="38" t="s">
        <v>21</v>
      </c>
      <c r="D462" s="40" t="s">
        <v>17</v>
      </c>
      <c r="E462" s="41" t="s">
        <v>22</v>
      </c>
      <c r="F462" s="56">
        <v>3</v>
      </c>
      <c r="G462" s="42">
        <v>1110.39</v>
      </c>
      <c r="H462" s="40" t="s">
        <v>19</v>
      </c>
      <c r="I462" s="206"/>
    </row>
    <row r="463" spans="1:12" ht="30" customHeight="1">
      <c r="A463" s="37">
        <v>275</v>
      </c>
      <c r="B463" s="38" t="s">
        <v>57</v>
      </c>
      <c r="C463" s="40" t="s">
        <v>58</v>
      </c>
      <c r="D463" s="40" t="s">
        <v>17</v>
      </c>
      <c r="E463" s="41" t="s">
        <v>25</v>
      </c>
      <c r="F463" s="41">
        <v>1</v>
      </c>
      <c r="G463" s="42">
        <v>2500.2</v>
      </c>
      <c r="H463" s="40" t="s">
        <v>19</v>
      </c>
      <c r="I463" s="206"/>
      <c r="L463" s="74"/>
    </row>
    <row r="464" spans="1:9" s="5" customFormat="1" ht="60" customHeight="1">
      <c r="A464" s="37">
        <v>276</v>
      </c>
      <c r="B464" s="40" t="s">
        <v>480</v>
      </c>
      <c r="C464" s="38" t="s">
        <v>481</v>
      </c>
      <c r="D464" s="40" t="s">
        <v>17</v>
      </c>
      <c r="E464" s="41" t="s">
        <v>25</v>
      </c>
      <c r="F464" s="56">
        <v>54</v>
      </c>
      <c r="G464" s="42">
        <v>28620</v>
      </c>
      <c r="H464" s="40" t="s">
        <v>19</v>
      </c>
      <c r="I464" s="206"/>
    </row>
    <row r="465" spans="1:9" ht="35.25" customHeight="1" hidden="1">
      <c r="A465" s="37"/>
      <c r="B465" s="45" t="s">
        <v>59</v>
      </c>
      <c r="C465" s="46"/>
      <c r="D465" s="40"/>
      <c r="E465" s="40"/>
      <c r="F465" s="41"/>
      <c r="G465" s="42">
        <f>SUM(G450:G464)</f>
        <v>42240</v>
      </c>
      <c r="H465" s="51"/>
      <c r="I465" s="206"/>
    </row>
    <row r="466" spans="1:9" ht="29.25" customHeight="1">
      <c r="A466" s="37">
        <v>277</v>
      </c>
      <c r="B466" s="71" t="s">
        <v>218</v>
      </c>
      <c r="C466" s="40" t="s">
        <v>219</v>
      </c>
      <c r="D466" s="40" t="s">
        <v>62</v>
      </c>
      <c r="E466" s="41" t="s">
        <v>34</v>
      </c>
      <c r="F466" s="69">
        <v>5</v>
      </c>
      <c r="G466" s="42">
        <v>115.03</v>
      </c>
      <c r="H466" s="40" t="s">
        <v>63</v>
      </c>
      <c r="I466" s="206"/>
    </row>
    <row r="467" spans="1:9" ht="29.25" customHeight="1">
      <c r="A467" s="37">
        <v>278</v>
      </c>
      <c r="B467" s="38" t="s">
        <v>268</v>
      </c>
      <c r="C467" s="40" t="s">
        <v>70</v>
      </c>
      <c r="D467" s="40" t="s">
        <v>62</v>
      </c>
      <c r="E467" s="41" t="s">
        <v>34</v>
      </c>
      <c r="F467" s="69">
        <v>5</v>
      </c>
      <c r="G467" s="42">
        <v>102.52</v>
      </c>
      <c r="H467" s="40" t="s">
        <v>63</v>
      </c>
      <c r="I467" s="206"/>
    </row>
    <row r="468" spans="1:9" ht="29.25" customHeight="1">
      <c r="A468" s="37">
        <v>279</v>
      </c>
      <c r="B468" s="38" t="s">
        <v>216</v>
      </c>
      <c r="C468" s="40" t="s">
        <v>217</v>
      </c>
      <c r="D468" s="40" t="s">
        <v>62</v>
      </c>
      <c r="E468" s="41" t="s">
        <v>34</v>
      </c>
      <c r="F468" s="69">
        <v>20</v>
      </c>
      <c r="G468" s="42">
        <v>379.9</v>
      </c>
      <c r="H468" s="40" t="s">
        <v>63</v>
      </c>
      <c r="I468" s="206"/>
    </row>
    <row r="469" spans="1:9" ht="29.25" customHeight="1">
      <c r="A469" s="37">
        <v>280</v>
      </c>
      <c r="B469" s="38" t="s">
        <v>64</v>
      </c>
      <c r="C469" s="40" t="s">
        <v>65</v>
      </c>
      <c r="D469" s="40" t="s">
        <v>62</v>
      </c>
      <c r="E469" s="41" t="s">
        <v>34</v>
      </c>
      <c r="F469" s="69">
        <f>350</f>
        <v>350</v>
      </c>
      <c r="G469" s="42">
        <v>5962.5</v>
      </c>
      <c r="H469" s="40" t="s">
        <v>63</v>
      </c>
      <c r="I469" s="206"/>
    </row>
    <row r="470" spans="1:9" ht="29.25" customHeight="1">
      <c r="A470" s="37">
        <v>281</v>
      </c>
      <c r="B470" s="38" t="s">
        <v>220</v>
      </c>
      <c r="C470" s="40" t="s">
        <v>221</v>
      </c>
      <c r="D470" s="40" t="s">
        <v>62</v>
      </c>
      <c r="E470" s="41" t="s">
        <v>34</v>
      </c>
      <c r="F470" s="69">
        <v>5</v>
      </c>
      <c r="G470" s="42">
        <v>65.95</v>
      </c>
      <c r="H470" s="40" t="s">
        <v>63</v>
      </c>
      <c r="I470" s="206"/>
    </row>
    <row r="471" spans="1:9" ht="29.25" customHeight="1">
      <c r="A471" s="37">
        <v>282</v>
      </c>
      <c r="B471" s="38" t="s">
        <v>71</v>
      </c>
      <c r="C471" s="71" t="s">
        <v>72</v>
      </c>
      <c r="D471" s="40" t="s">
        <v>62</v>
      </c>
      <c r="E471" s="41" t="s">
        <v>34</v>
      </c>
      <c r="F471" s="69">
        <v>70</v>
      </c>
      <c r="G471" s="42">
        <v>1092.8</v>
      </c>
      <c r="H471" s="40" t="s">
        <v>63</v>
      </c>
      <c r="I471" s="206"/>
    </row>
    <row r="472" spans="1:9" ht="44.25" customHeight="1">
      <c r="A472" s="37">
        <v>283</v>
      </c>
      <c r="B472" s="38" t="s">
        <v>73</v>
      </c>
      <c r="C472" s="40" t="s">
        <v>74</v>
      </c>
      <c r="D472" s="40" t="s">
        <v>62</v>
      </c>
      <c r="E472" s="41" t="s">
        <v>34</v>
      </c>
      <c r="F472" s="69">
        <v>25</v>
      </c>
      <c r="G472" s="42">
        <v>583.8</v>
      </c>
      <c r="H472" s="40" t="s">
        <v>63</v>
      </c>
      <c r="I472" s="206"/>
    </row>
    <row r="473" spans="1:9" ht="30" customHeight="1">
      <c r="A473" s="37">
        <v>284</v>
      </c>
      <c r="B473" s="38" t="s">
        <v>75</v>
      </c>
      <c r="C473" s="71" t="s">
        <v>76</v>
      </c>
      <c r="D473" s="40" t="s">
        <v>62</v>
      </c>
      <c r="E473" s="41" t="s">
        <v>77</v>
      </c>
      <c r="F473" s="69">
        <v>15</v>
      </c>
      <c r="G473" s="42">
        <v>1125.95</v>
      </c>
      <c r="H473" s="40" t="s">
        <v>63</v>
      </c>
      <c r="I473" s="206"/>
    </row>
    <row r="474" spans="1:9" ht="30" customHeight="1">
      <c r="A474" s="37">
        <v>285</v>
      </c>
      <c r="B474" s="38" t="s">
        <v>78</v>
      </c>
      <c r="C474" s="40" t="s">
        <v>79</v>
      </c>
      <c r="D474" s="40" t="s">
        <v>62</v>
      </c>
      <c r="E474" s="41" t="s">
        <v>34</v>
      </c>
      <c r="F474" s="69">
        <v>20</v>
      </c>
      <c r="G474" s="42">
        <v>6156.75</v>
      </c>
      <c r="H474" s="40" t="s">
        <v>63</v>
      </c>
      <c r="I474" s="206"/>
    </row>
    <row r="475" spans="1:9" ht="45" customHeight="1">
      <c r="A475" s="37">
        <v>286</v>
      </c>
      <c r="B475" s="38" t="s">
        <v>80</v>
      </c>
      <c r="C475" s="40" t="s">
        <v>81</v>
      </c>
      <c r="D475" s="40" t="s">
        <v>62</v>
      </c>
      <c r="E475" s="41" t="s">
        <v>82</v>
      </c>
      <c r="F475" s="69">
        <f>4.5+22.5</f>
        <v>27</v>
      </c>
      <c r="G475" s="42">
        <v>1089.9</v>
      </c>
      <c r="H475" s="40" t="s">
        <v>63</v>
      </c>
      <c r="I475" s="206"/>
    </row>
    <row r="476" spans="1:9" ht="30" customHeight="1">
      <c r="A476" s="37">
        <v>287</v>
      </c>
      <c r="B476" s="38" t="s">
        <v>83</v>
      </c>
      <c r="C476" s="40" t="s">
        <v>72</v>
      </c>
      <c r="D476" s="40" t="s">
        <v>62</v>
      </c>
      <c r="E476" s="41" t="s">
        <v>34</v>
      </c>
      <c r="F476" s="69">
        <v>70</v>
      </c>
      <c r="G476" s="42">
        <v>1690</v>
      </c>
      <c r="H476" s="40" t="s">
        <v>63</v>
      </c>
      <c r="I476" s="206"/>
    </row>
    <row r="477" spans="1:9" ht="44.25" customHeight="1">
      <c r="A477" s="37">
        <v>288</v>
      </c>
      <c r="B477" s="38" t="s">
        <v>84</v>
      </c>
      <c r="C477" s="40" t="s">
        <v>85</v>
      </c>
      <c r="D477" s="40" t="s">
        <v>62</v>
      </c>
      <c r="E477" s="41" t="s">
        <v>34</v>
      </c>
      <c r="F477" s="69">
        <f>4.55+9.1</f>
        <v>13.649999999999999</v>
      </c>
      <c r="G477" s="42">
        <v>1606.97</v>
      </c>
      <c r="H477" s="40" t="s">
        <v>63</v>
      </c>
      <c r="I477" s="206"/>
    </row>
    <row r="478" spans="1:9" ht="30" customHeight="1">
      <c r="A478" s="37">
        <v>289</v>
      </c>
      <c r="B478" s="38" t="s">
        <v>665</v>
      </c>
      <c r="C478" s="40" t="s">
        <v>666</v>
      </c>
      <c r="D478" s="40" t="s">
        <v>62</v>
      </c>
      <c r="E478" s="41" t="s">
        <v>34</v>
      </c>
      <c r="F478" s="69">
        <v>60</v>
      </c>
      <c r="G478" s="42">
        <v>8444.4</v>
      </c>
      <c r="H478" s="40" t="s">
        <v>63</v>
      </c>
      <c r="I478" s="206"/>
    </row>
    <row r="479" spans="1:9" ht="30" customHeight="1">
      <c r="A479" s="37">
        <v>290</v>
      </c>
      <c r="B479" s="38" t="s">
        <v>88</v>
      </c>
      <c r="C479" s="40" t="s">
        <v>85</v>
      </c>
      <c r="D479" s="40" t="s">
        <v>62</v>
      </c>
      <c r="E479" s="41" t="s">
        <v>34</v>
      </c>
      <c r="F479" s="69">
        <v>25</v>
      </c>
      <c r="G479" s="42">
        <v>3103.5</v>
      </c>
      <c r="H479" s="40" t="s">
        <v>63</v>
      </c>
      <c r="I479" s="206"/>
    </row>
    <row r="480" spans="1:9" ht="30" customHeight="1">
      <c r="A480" s="37">
        <v>291</v>
      </c>
      <c r="B480" s="40" t="s">
        <v>269</v>
      </c>
      <c r="C480" s="40" t="s">
        <v>270</v>
      </c>
      <c r="D480" s="40" t="s">
        <v>62</v>
      </c>
      <c r="E480" s="41" t="s">
        <v>34</v>
      </c>
      <c r="F480" s="69">
        <v>1</v>
      </c>
      <c r="G480" s="42">
        <v>374.43</v>
      </c>
      <c r="H480" s="40" t="s">
        <v>63</v>
      </c>
      <c r="I480" s="206"/>
    </row>
    <row r="481" spans="1:9" ht="30" customHeight="1">
      <c r="A481" s="37">
        <v>292</v>
      </c>
      <c r="B481" s="38" t="s">
        <v>89</v>
      </c>
      <c r="C481" s="40" t="s">
        <v>90</v>
      </c>
      <c r="D481" s="40" t="s">
        <v>62</v>
      </c>
      <c r="E481" s="41" t="s">
        <v>34</v>
      </c>
      <c r="F481" s="69">
        <v>40</v>
      </c>
      <c r="G481" s="42">
        <v>1984.2</v>
      </c>
      <c r="H481" s="40" t="s">
        <v>63</v>
      </c>
      <c r="I481" s="206"/>
    </row>
    <row r="482" spans="1:9" ht="30" customHeight="1">
      <c r="A482" s="37">
        <v>293</v>
      </c>
      <c r="B482" s="38" t="s">
        <v>91</v>
      </c>
      <c r="C482" s="40" t="s">
        <v>92</v>
      </c>
      <c r="D482" s="40" t="s">
        <v>62</v>
      </c>
      <c r="E482" s="41" t="s">
        <v>34</v>
      </c>
      <c r="F482" s="69">
        <v>70</v>
      </c>
      <c r="G482" s="42">
        <v>11704.5</v>
      </c>
      <c r="H482" s="40" t="s">
        <v>63</v>
      </c>
      <c r="I482" s="206"/>
    </row>
    <row r="483" spans="1:9" ht="30" customHeight="1">
      <c r="A483" s="37">
        <v>294</v>
      </c>
      <c r="B483" s="38" t="s">
        <v>222</v>
      </c>
      <c r="C483" s="40" t="s">
        <v>223</v>
      </c>
      <c r="D483" s="40" t="s">
        <v>62</v>
      </c>
      <c r="E483" s="41" t="s">
        <v>34</v>
      </c>
      <c r="F483" s="69">
        <v>35</v>
      </c>
      <c r="G483" s="42">
        <v>678.7</v>
      </c>
      <c r="H483" s="40" t="s">
        <v>63</v>
      </c>
      <c r="I483" s="206"/>
    </row>
    <row r="484" spans="1:9" ht="30" customHeight="1">
      <c r="A484" s="37">
        <v>295</v>
      </c>
      <c r="B484" s="38" t="s">
        <v>93</v>
      </c>
      <c r="C484" s="40" t="s">
        <v>94</v>
      </c>
      <c r="D484" s="40" t="s">
        <v>62</v>
      </c>
      <c r="E484" s="41" t="s">
        <v>34</v>
      </c>
      <c r="F484" s="69">
        <v>17</v>
      </c>
      <c r="G484" s="42">
        <v>2208.29</v>
      </c>
      <c r="H484" s="40" t="s">
        <v>63</v>
      </c>
      <c r="I484" s="206"/>
    </row>
    <row r="485" spans="1:9" ht="30" customHeight="1">
      <c r="A485" s="37">
        <v>296</v>
      </c>
      <c r="B485" s="38" t="s">
        <v>224</v>
      </c>
      <c r="C485" s="40" t="s">
        <v>225</v>
      </c>
      <c r="D485" s="40" t="s">
        <v>62</v>
      </c>
      <c r="E485" s="41" t="s">
        <v>34</v>
      </c>
      <c r="F485" s="69">
        <v>10</v>
      </c>
      <c r="G485" s="42">
        <v>127.1</v>
      </c>
      <c r="H485" s="40" t="s">
        <v>63</v>
      </c>
      <c r="I485" s="206"/>
    </row>
    <row r="486" spans="1:9" ht="30" customHeight="1">
      <c r="A486" s="37">
        <v>297</v>
      </c>
      <c r="B486" s="40" t="s">
        <v>482</v>
      </c>
      <c r="C486" s="40" t="s">
        <v>227</v>
      </c>
      <c r="D486" s="40" t="s">
        <v>62</v>
      </c>
      <c r="E486" s="41" t="s">
        <v>34</v>
      </c>
      <c r="F486" s="69">
        <v>15</v>
      </c>
      <c r="G486" s="42">
        <v>2077.08</v>
      </c>
      <c r="H486" s="40" t="s">
        <v>63</v>
      </c>
      <c r="I486" s="206"/>
    </row>
    <row r="487" spans="1:9" ht="30" customHeight="1">
      <c r="A487" s="37">
        <v>298</v>
      </c>
      <c r="B487" s="40" t="s">
        <v>276</v>
      </c>
      <c r="C487" s="40" t="s">
        <v>277</v>
      </c>
      <c r="D487" s="40" t="s">
        <v>62</v>
      </c>
      <c r="E487" s="41" t="s">
        <v>34</v>
      </c>
      <c r="F487" s="69">
        <v>10</v>
      </c>
      <c r="G487" s="42">
        <v>1876.04</v>
      </c>
      <c r="H487" s="40" t="s">
        <v>63</v>
      </c>
      <c r="I487" s="206"/>
    </row>
    <row r="488" spans="1:9" ht="30" customHeight="1">
      <c r="A488" s="37">
        <v>299</v>
      </c>
      <c r="B488" s="40" t="s">
        <v>95</v>
      </c>
      <c r="C488" s="40" t="s">
        <v>96</v>
      </c>
      <c r="D488" s="40" t="s">
        <v>62</v>
      </c>
      <c r="E488" s="41" t="s">
        <v>34</v>
      </c>
      <c r="F488" s="69">
        <v>40</v>
      </c>
      <c r="G488" s="42">
        <v>8210.1</v>
      </c>
      <c r="H488" s="40" t="s">
        <v>63</v>
      </c>
      <c r="I488" s="206"/>
    </row>
    <row r="489" spans="1:9" ht="30" customHeight="1">
      <c r="A489" s="37">
        <v>300</v>
      </c>
      <c r="B489" s="40" t="s">
        <v>667</v>
      </c>
      <c r="C489" s="40" t="s">
        <v>668</v>
      </c>
      <c r="D489" s="40" t="s">
        <v>62</v>
      </c>
      <c r="E489" s="41" t="s">
        <v>34</v>
      </c>
      <c r="F489" s="69">
        <v>65</v>
      </c>
      <c r="G489" s="42">
        <v>14950</v>
      </c>
      <c r="H489" s="40" t="s">
        <v>63</v>
      </c>
      <c r="I489" s="206"/>
    </row>
    <row r="490" spans="1:9" ht="45" customHeight="1">
      <c r="A490" s="37">
        <v>301</v>
      </c>
      <c r="B490" s="54" t="s">
        <v>98</v>
      </c>
      <c r="C490" s="40" t="s">
        <v>61</v>
      </c>
      <c r="D490" s="40" t="s">
        <v>62</v>
      </c>
      <c r="E490" s="41" t="s">
        <v>25</v>
      </c>
      <c r="F490" s="69">
        <v>360</v>
      </c>
      <c r="G490" s="42">
        <v>4590.62</v>
      </c>
      <c r="H490" s="40" t="s">
        <v>63</v>
      </c>
      <c r="I490" s="206"/>
    </row>
    <row r="491" spans="1:9" ht="30" customHeight="1">
      <c r="A491" s="37">
        <v>302</v>
      </c>
      <c r="B491" s="40" t="s">
        <v>99</v>
      </c>
      <c r="C491" s="40" t="s">
        <v>100</v>
      </c>
      <c r="D491" s="40" t="s">
        <v>62</v>
      </c>
      <c r="E491" s="41" t="s">
        <v>34</v>
      </c>
      <c r="F491" s="69">
        <v>26</v>
      </c>
      <c r="G491" s="42">
        <v>7639.51</v>
      </c>
      <c r="H491" s="40" t="s">
        <v>63</v>
      </c>
      <c r="I491" s="206"/>
    </row>
    <row r="492" spans="1:9" ht="30" customHeight="1">
      <c r="A492" s="37">
        <v>303</v>
      </c>
      <c r="B492" s="38" t="s">
        <v>274</v>
      </c>
      <c r="C492" s="40" t="s">
        <v>275</v>
      </c>
      <c r="D492" s="40" t="s">
        <v>62</v>
      </c>
      <c r="E492" s="41" t="s">
        <v>34</v>
      </c>
      <c r="F492" s="69">
        <v>50</v>
      </c>
      <c r="G492" s="42">
        <v>1950</v>
      </c>
      <c r="H492" s="40" t="s">
        <v>63</v>
      </c>
      <c r="I492" s="206"/>
    </row>
    <row r="493" spans="1:9" ht="30" customHeight="1">
      <c r="A493" s="37">
        <v>304</v>
      </c>
      <c r="B493" s="40" t="s">
        <v>228</v>
      </c>
      <c r="C493" s="40" t="s">
        <v>229</v>
      </c>
      <c r="D493" s="40" t="s">
        <v>62</v>
      </c>
      <c r="E493" s="41" t="s">
        <v>34</v>
      </c>
      <c r="F493" s="69">
        <v>20</v>
      </c>
      <c r="G493" s="42">
        <v>862.25</v>
      </c>
      <c r="H493" s="40" t="s">
        <v>63</v>
      </c>
      <c r="I493" s="206"/>
    </row>
    <row r="494" spans="1:9" ht="30" customHeight="1">
      <c r="A494" s="37">
        <v>305</v>
      </c>
      <c r="B494" s="40" t="s">
        <v>103</v>
      </c>
      <c r="C494" s="40" t="s">
        <v>104</v>
      </c>
      <c r="D494" s="40" t="s">
        <v>62</v>
      </c>
      <c r="E494" s="41" t="s">
        <v>25</v>
      </c>
      <c r="F494" s="69">
        <v>1200</v>
      </c>
      <c r="G494" s="42">
        <v>5568</v>
      </c>
      <c r="H494" s="40" t="s">
        <v>63</v>
      </c>
      <c r="I494" s="206"/>
    </row>
    <row r="495" spans="1:9" ht="30" customHeight="1">
      <c r="A495" s="37">
        <v>306</v>
      </c>
      <c r="B495" s="40" t="s">
        <v>430</v>
      </c>
      <c r="C495" s="40" t="s">
        <v>231</v>
      </c>
      <c r="D495" s="40" t="s">
        <v>62</v>
      </c>
      <c r="E495" s="41" t="s">
        <v>77</v>
      </c>
      <c r="F495" s="69">
        <v>15</v>
      </c>
      <c r="G495" s="42">
        <v>902.55</v>
      </c>
      <c r="H495" s="40" t="s">
        <v>63</v>
      </c>
      <c r="I495" s="206"/>
    </row>
    <row r="496" spans="1:9" ht="30" customHeight="1">
      <c r="A496" s="37">
        <v>307</v>
      </c>
      <c r="B496" s="38" t="s">
        <v>232</v>
      </c>
      <c r="C496" s="40" t="s">
        <v>85</v>
      </c>
      <c r="D496" s="40" t="s">
        <v>62</v>
      </c>
      <c r="E496" s="41" t="s">
        <v>34</v>
      </c>
      <c r="F496" s="69">
        <f>4.8+9.6</f>
        <v>14.399999999999999</v>
      </c>
      <c r="G496" s="42">
        <v>1695.26</v>
      </c>
      <c r="H496" s="40" t="s">
        <v>63</v>
      </c>
      <c r="I496" s="206"/>
    </row>
    <row r="497" spans="1:9" ht="30" customHeight="1">
      <c r="A497" s="37">
        <v>308</v>
      </c>
      <c r="B497" s="38" t="s">
        <v>105</v>
      </c>
      <c r="C497" s="40" t="s">
        <v>70</v>
      </c>
      <c r="D497" s="40" t="s">
        <v>62</v>
      </c>
      <c r="E497" s="41" t="s">
        <v>34</v>
      </c>
      <c r="F497" s="69">
        <v>30</v>
      </c>
      <c r="G497" s="42">
        <v>987.6</v>
      </c>
      <c r="H497" s="40" t="s">
        <v>63</v>
      </c>
      <c r="I497" s="206"/>
    </row>
    <row r="498" spans="1:9" ht="30" customHeight="1">
      <c r="A498" s="37">
        <v>309</v>
      </c>
      <c r="B498" s="40" t="s">
        <v>101</v>
      </c>
      <c r="C498" s="40" t="s">
        <v>102</v>
      </c>
      <c r="D498" s="40" t="s">
        <v>62</v>
      </c>
      <c r="E498" s="41" t="s">
        <v>34</v>
      </c>
      <c r="F498" s="69">
        <v>1.5</v>
      </c>
      <c r="G498" s="42">
        <v>959.5</v>
      </c>
      <c r="H498" s="40" t="s">
        <v>63</v>
      </c>
      <c r="I498" s="206"/>
    </row>
    <row r="499" spans="1:9" ht="30" customHeight="1">
      <c r="A499" s="37">
        <v>310</v>
      </c>
      <c r="B499" s="38" t="s">
        <v>278</v>
      </c>
      <c r="C499" s="40" t="s">
        <v>70</v>
      </c>
      <c r="D499" s="40" t="s">
        <v>62</v>
      </c>
      <c r="E499" s="41" t="s">
        <v>34</v>
      </c>
      <c r="F499" s="69">
        <v>3</v>
      </c>
      <c r="G499" s="42">
        <v>54.3</v>
      </c>
      <c r="H499" s="40" t="s">
        <v>63</v>
      </c>
      <c r="I499" s="206"/>
    </row>
    <row r="500" spans="1:9" ht="35.25" customHeight="1" hidden="1">
      <c r="A500" s="37"/>
      <c r="B500" s="204" t="s">
        <v>106</v>
      </c>
      <c r="C500" s="179"/>
      <c r="D500" s="40"/>
      <c r="E500" s="40"/>
      <c r="F500" s="50"/>
      <c r="G500" s="42">
        <f>SUM(G466:G499)</f>
        <v>100920</v>
      </c>
      <c r="H500" s="51"/>
      <c r="I500" s="206"/>
    </row>
    <row r="501" spans="1:12" ht="30" customHeight="1">
      <c r="A501" s="37">
        <v>311</v>
      </c>
      <c r="B501" s="38" t="s">
        <v>235</v>
      </c>
      <c r="C501" s="40" t="s">
        <v>116</v>
      </c>
      <c r="D501" s="40" t="s">
        <v>109</v>
      </c>
      <c r="E501" s="40" t="s">
        <v>25</v>
      </c>
      <c r="F501" s="50">
        <v>6</v>
      </c>
      <c r="G501" s="42">
        <v>984</v>
      </c>
      <c r="H501" s="40" t="s">
        <v>63</v>
      </c>
      <c r="I501" s="206"/>
      <c r="K501" s="12">
        <f>308</f>
        <v>308</v>
      </c>
      <c r="L501" s="74">
        <f>G501-K501</f>
        <v>676</v>
      </c>
    </row>
    <row r="502" spans="1:12" ht="30" customHeight="1">
      <c r="A502" s="37">
        <v>312</v>
      </c>
      <c r="B502" s="38" t="s">
        <v>433</v>
      </c>
      <c r="C502" s="40" t="s">
        <v>234</v>
      </c>
      <c r="D502" s="40" t="s">
        <v>109</v>
      </c>
      <c r="E502" s="40" t="s">
        <v>25</v>
      </c>
      <c r="F502" s="50">
        <v>3</v>
      </c>
      <c r="G502" s="42">
        <v>780</v>
      </c>
      <c r="H502" s="40" t="s">
        <v>63</v>
      </c>
      <c r="I502" s="206"/>
      <c r="K502" s="12">
        <f>260</f>
        <v>260</v>
      </c>
      <c r="L502" s="74">
        <f>G502-K502</f>
        <v>520</v>
      </c>
    </row>
    <row r="503" spans="1:12" ht="30" customHeight="1">
      <c r="A503" s="37">
        <v>313</v>
      </c>
      <c r="B503" s="38" t="s">
        <v>130</v>
      </c>
      <c r="C503" s="40" t="s">
        <v>131</v>
      </c>
      <c r="D503" s="40" t="s">
        <v>109</v>
      </c>
      <c r="E503" s="40" t="s">
        <v>25</v>
      </c>
      <c r="F503" s="41">
        <v>6</v>
      </c>
      <c r="G503" s="42">
        <v>1680</v>
      </c>
      <c r="H503" s="40" t="s">
        <v>132</v>
      </c>
      <c r="I503" s="206"/>
      <c r="K503" s="12">
        <v>520</v>
      </c>
      <c r="L503" s="74">
        <f aca="true" t="shared" si="8" ref="L503:L512">G503-K503</f>
        <v>1160</v>
      </c>
    </row>
    <row r="504" spans="1:12" ht="30" customHeight="1">
      <c r="A504" s="37">
        <v>314</v>
      </c>
      <c r="B504" s="38" t="s">
        <v>431</v>
      </c>
      <c r="C504" s="40" t="s">
        <v>108</v>
      </c>
      <c r="D504" s="40" t="s">
        <v>109</v>
      </c>
      <c r="E504" s="40" t="s">
        <v>110</v>
      </c>
      <c r="F504" s="41">
        <v>6</v>
      </c>
      <c r="G504" s="42">
        <v>566.4</v>
      </c>
      <c r="H504" s="40" t="s">
        <v>63</v>
      </c>
      <c r="I504" s="206"/>
      <c r="K504" s="12">
        <v>94.4</v>
      </c>
      <c r="L504" s="74">
        <f t="shared" si="8"/>
        <v>472</v>
      </c>
    </row>
    <row r="505" spans="1:12" ht="45" customHeight="1">
      <c r="A505" s="37">
        <v>315</v>
      </c>
      <c r="B505" s="38" t="s">
        <v>236</v>
      </c>
      <c r="C505" s="40" t="s">
        <v>119</v>
      </c>
      <c r="D505" s="40" t="s">
        <v>109</v>
      </c>
      <c r="E505" s="40" t="s">
        <v>120</v>
      </c>
      <c r="F505" s="41" t="s">
        <v>121</v>
      </c>
      <c r="G505" s="42">
        <v>4373.79</v>
      </c>
      <c r="H505" s="40" t="s">
        <v>63</v>
      </c>
      <c r="I505" s="206"/>
      <c r="K505" s="12">
        <f>1342.43</f>
        <v>1342.43</v>
      </c>
      <c r="L505" s="74">
        <f t="shared" si="8"/>
        <v>3031.3599999999997</v>
      </c>
    </row>
    <row r="506" spans="1:12" ht="30" customHeight="1">
      <c r="A506" s="37">
        <v>316</v>
      </c>
      <c r="B506" s="98" t="s">
        <v>296</v>
      </c>
      <c r="C506" s="99" t="s">
        <v>326</v>
      </c>
      <c r="D506" s="40" t="s">
        <v>109</v>
      </c>
      <c r="E506" s="40" t="s">
        <v>113</v>
      </c>
      <c r="F506" s="41" t="s">
        <v>117</v>
      </c>
      <c r="G506" s="42">
        <v>1413</v>
      </c>
      <c r="H506" s="40" t="s">
        <v>63</v>
      </c>
      <c r="I506" s="206"/>
      <c r="K506" s="12">
        <f>470.96</f>
        <v>470.96</v>
      </c>
      <c r="L506" s="74">
        <f t="shared" si="8"/>
        <v>942.04</v>
      </c>
    </row>
    <row r="507" spans="1:12" ht="30" customHeight="1">
      <c r="A507" s="37">
        <v>317</v>
      </c>
      <c r="B507" s="98" t="s">
        <v>295</v>
      </c>
      <c r="C507" s="99" t="s">
        <v>112</v>
      </c>
      <c r="D507" s="40" t="s">
        <v>109</v>
      </c>
      <c r="E507" s="40" t="s">
        <v>113</v>
      </c>
      <c r="F507" s="41" t="s">
        <v>483</v>
      </c>
      <c r="G507" s="42">
        <v>1800</v>
      </c>
      <c r="H507" s="40" t="s">
        <v>63</v>
      </c>
      <c r="I507" s="206"/>
      <c r="K507" s="12">
        <v>300</v>
      </c>
      <c r="L507" s="74">
        <f t="shared" si="8"/>
        <v>1500</v>
      </c>
    </row>
    <row r="508" spans="1:12" ht="45" customHeight="1">
      <c r="A508" s="37">
        <v>318</v>
      </c>
      <c r="B508" s="38" t="s">
        <v>128</v>
      </c>
      <c r="C508" s="40" t="s">
        <v>129</v>
      </c>
      <c r="D508" s="40" t="s">
        <v>109</v>
      </c>
      <c r="E508" s="41" t="s">
        <v>25</v>
      </c>
      <c r="F508" s="41">
        <v>1</v>
      </c>
      <c r="G508" s="163">
        <v>48002</v>
      </c>
      <c r="H508" s="155" t="s">
        <v>63</v>
      </c>
      <c r="I508" s="206"/>
      <c r="L508" s="74"/>
    </row>
    <row r="509" spans="1:12" ht="30" customHeight="1">
      <c r="A509" s="37">
        <v>319</v>
      </c>
      <c r="B509" s="98" t="s">
        <v>484</v>
      </c>
      <c r="C509" s="99" t="s">
        <v>242</v>
      </c>
      <c r="D509" s="40" t="s">
        <v>109</v>
      </c>
      <c r="E509" s="40" t="s">
        <v>113</v>
      </c>
      <c r="F509" s="41">
        <v>1</v>
      </c>
      <c r="G509" s="42">
        <v>40000</v>
      </c>
      <c r="H509" s="40" t="s">
        <v>63</v>
      </c>
      <c r="I509" s="206"/>
      <c r="L509" s="74"/>
    </row>
    <row r="510" spans="1:12" ht="30" customHeight="1">
      <c r="A510" s="37">
        <v>320</v>
      </c>
      <c r="B510" s="98" t="s">
        <v>127</v>
      </c>
      <c r="C510" s="99" t="s">
        <v>239</v>
      </c>
      <c r="D510" s="40" t="s">
        <v>109</v>
      </c>
      <c r="E510" s="40" t="s">
        <v>285</v>
      </c>
      <c r="F510" s="41">
        <v>1212.9</v>
      </c>
      <c r="G510" s="42">
        <v>3129.28</v>
      </c>
      <c r="H510" s="40" t="s">
        <v>19</v>
      </c>
      <c r="I510" s="206"/>
      <c r="L510" s="74"/>
    </row>
    <row r="511" spans="1:12" ht="30" customHeight="1">
      <c r="A511" s="37">
        <v>321</v>
      </c>
      <c r="B511" s="38" t="s">
        <v>286</v>
      </c>
      <c r="C511" s="40" t="s">
        <v>239</v>
      </c>
      <c r="D511" s="40" t="s">
        <v>109</v>
      </c>
      <c r="E511" s="40" t="s">
        <v>285</v>
      </c>
      <c r="F511" s="41">
        <v>134.3</v>
      </c>
      <c r="G511" s="42">
        <v>397.53</v>
      </c>
      <c r="H511" s="40" t="s">
        <v>19</v>
      </c>
      <c r="I511" s="206"/>
      <c r="L511" s="74">
        <f t="shared" si="8"/>
        <v>397.53</v>
      </c>
    </row>
    <row r="512" spans="1:12" ht="32.25" customHeight="1" hidden="1">
      <c r="A512" s="37">
        <v>329</v>
      </c>
      <c r="B512" s="45" t="s">
        <v>136</v>
      </c>
      <c r="C512" s="46"/>
      <c r="D512" s="40"/>
      <c r="E512" s="40"/>
      <c r="F512" s="41"/>
      <c r="G512" s="42">
        <f>SUM(G501:G511)</f>
        <v>103126</v>
      </c>
      <c r="H512" s="51"/>
      <c r="I512" s="206"/>
      <c r="L512" s="74">
        <f t="shared" si="8"/>
        <v>103126</v>
      </c>
    </row>
    <row r="513" spans="1:11" ht="30" customHeight="1">
      <c r="A513" s="37">
        <v>322</v>
      </c>
      <c r="B513" s="38" t="s">
        <v>137</v>
      </c>
      <c r="C513" s="52" t="s">
        <v>138</v>
      </c>
      <c r="D513" s="40" t="s">
        <v>139</v>
      </c>
      <c r="E513" s="40" t="s">
        <v>140</v>
      </c>
      <c r="F513" s="53">
        <f>G513/67.76</f>
        <v>3579.1027154663516</v>
      </c>
      <c r="G513" s="42">
        <v>242520</v>
      </c>
      <c r="H513" s="40" t="s">
        <v>63</v>
      </c>
      <c r="I513" s="206"/>
      <c r="K513" s="12">
        <f>102927.44</f>
        <v>102927.44</v>
      </c>
    </row>
    <row r="514" spans="1:9" ht="25.5" customHeight="1" hidden="1">
      <c r="A514" s="37">
        <v>331</v>
      </c>
      <c r="B514" s="45" t="s">
        <v>141</v>
      </c>
      <c r="C514" s="46"/>
      <c r="D514" s="40"/>
      <c r="E514" s="40"/>
      <c r="F514" s="41"/>
      <c r="G514" s="42">
        <f>SUM(G513)</f>
        <v>242520</v>
      </c>
      <c r="H514" s="51"/>
      <c r="I514" s="206"/>
    </row>
    <row r="515" spans="1:9" ht="30.75" customHeight="1">
      <c r="A515" s="37">
        <v>323</v>
      </c>
      <c r="B515" s="38" t="s">
        <v>485</v>
      </c>
      <c r="C515" s="54" t="s">
        <v>245</v>
      </c>
      <c r="D515" s="40" t="s">
        <v>246</v>
      </c>
      <c r="E515" s="40" t="s">
        <v>110</v>
      </c>
      <c r="F515" s="56">
        <f>G515/12.72</f>
        <v>88.44339622641509</v>
      </c>
      <c r="G515" s="42">
        <v>1125</v>
      </c>
      <c r="H515" s="40" t="s">
        <v>63</v>
      </c>
      <c r="I515" s="206"/>
    </row>
    <row r="516" spans="1:9" ht="18.75" customHeight="1" hidden="1">
      <c r="A516" s="37">
        <v>333</v>
      </c>
      <c r="B516" s="45" t="s">
        <v>247</v>
      </c>
      <c r="C516" s="46"/>
      <c r="D516" s="40"/>
      <c r="E516" s="40"/>
      <c r="F516" s="41"/>
      <c r="G516" s="42">
        <f>SUM(G515:G515)</f>
        <v>1125</v>
      </c>
      <c r="H516" s="51"/>
      <c r="I516" s="206"/>
    </row>
    <row r="517" spans="1:11" ht="30" customHeight="1">
      <c r="A517" s="37">
        <v>324</v>
      </c>
      <c r="B517" s="38" t="s">
        <v>142</v>
      </c>
      <c r="C517" s="54" t="s">
        <v>143</v>
      </c>
      <c r="D517" s="40" t="s">
        <v>144</v>
      </c>
      <c r="E517" s="40" t="s">
        <v>145</v>
      </c>
      <c r="F517" s="56">
        <f>G517/4.143</f>
        <v>5811.48925899107</v>
      </c>
      <c r="G517" s="42">
        <v>24077</v>
      </c>
      <c r="H517" s="40" t="s">
        <v>63</v>
      </c>
      <c r="I517" s="206"/>
      <c r="K517" s="12">
        <v>9301.85</v>
      </c>
    </row>
    <row r="518" spans="1:9" ht="18.75" customHeight="1" hidden="1">
      <c r="A518" s="37"/>
      <c r="B518" s="45" t="s">
        <v>146</v>
      </c>
      <c r="C518" s="46"/>
      <c r="D518" s="40"/>
      <c r="E518" s="40"/>
      <c r="F518" s="41"/>
      <c r="G518" s="42">
        <f>SUM(G517)</f>
        <v>24077</v>
      </c>
      <c r="H518" s="51"/>
      <c r="I518" s="223"/>
    </row>
    <row r="519" spans="1:9" ht="18.75" customHeight="1" hidden="1">
      <c r="A519" s="19"/>
      <c r="B519" s="167"/>
      <c r="C519" s="167"/>
      <c r="D519" s="168"/>
      <c r="E519" s="168"/>
      <c r="F519" s="207"/>
      <c r="G519" s="110"/>
      <c r="H519" s="8"/>
      <c r="I519" s="223"/>
    </row>
    <row r="520" spans="1:9" ht="28.5" customHeight="1" hidden="1">
      <c r="A520" s="19"/>
      <c r="B520" s="208" t="s">
        <v>151</v>
      </c>
      <c r="C520" s="167"/>
      <c r="D520" s="168"/>
      <c r="E520" s="168"/>
      <c r="F520" s="207"/>
      <c r="G520" s="110"/>
      <c r="H520" s="8"/>
      <c r="I520" s="223"/>
    </row>
    <row r="521" spans="1:9" ht="22.5" customHeight="1" hidden="1">
      <c r="A521" s="19"/>
      <c r="B521" s="106" t="s">
        <v>152</v>
      </c>
      <c r="C521" s="107"/>
      <c r="D521" s="108" t="s">
        <v>153</v>
      </c>
      <c r="E521" s="109"/>
      <c r="F521" s="109"/>
      <c r="G521" s="110"/>
      <c r="H521" s="171"/>
      <c r="I521" s="223"/>
    </row>
    <row r="522" spans="1:9" s="8" customFormat="1" ht="22.5" customHeight="1" hidden="1">
      <c r="A522" s="19"/>
      <c r="B522" s="111"/>
      <c r="C522" s="9"/>
      <c r="D522" s="112" t="s">
        <v>154</v>
      </c>
      <c r="E522" s="113" t="s">
        <v>155</v>
      </c>
      <c r="F522" s="114"/>
      <c r="G522" s="110"/>
      <c r="H522" s="171"/>
      <c r="I522" s="223"/>
    </row>
    <row r="523" spans="1:9" s="8" customFormat="1" ht="22.5" customHeight="1" hidden="1">
      <c r="A523" s="19"/>
      <c r="B523" s="115" t="s">
        <v>156</v>
      </c>
      <c r="C523" s="116"/>
      <c r="D523" s="108" t="s">
        <v>157</v>
      </c>
      <c r="E523" s="109"/>
      <c r="F523" s="109"/>
      <c r="G523" s="110"/>
      <c r="H523" s="171"/>
      <c r="I523" s="223"/>
    </row>
    <row r="524" spans="1:9" s="8" customFormat="1" ht="22.5" customHeight="1" hidden="1">
      <c r="A524" s="19"/>
      <c r="B524" s="111"/>
      <c r="C524" s="9"/>
      <c r="D524" s="9"/>
      <c r="E524" s="9"/>
      <c r="F524" s="9"/>
      <c r="G524" s="110"/>
      <c r="H524" s="171"/>
      <c r="I524" s="223"/>
    </row>
    <row r="525" spans="1:9" s="8" customFormat="1" ht="22.5" customHeight="1" hidden="1">
      <c r="A525" s="19"/>
      <c r="B525" s="115" t="s">
        <v>158</v>
      </c>
      <c r="C525" s="9"/>
      <c r="D525" s="9"/>
      <c r="E525" s="9"/>
      <c r="F525" s="9"/>
      <c r="G525" s="110"/>
      <c r="H525" s="171"/>
      <c r="I525" s="223"/>
    </row>
    <row r="526" spans="1:9" s="8" customFormat="1" ht="29.25" customHeight="1" hidden="1">
      <c r="A526" s="19"/>
      <c r="B526" s="184" t="s">
        <v>159</v>
      </c>
      <c r="C526" s="9"/>
      <c r="D526" s="118" t="s">
        <v>160</v>
      </c>
      <c r="E526" s="118"/>
      <c r="F526" s="118"/>
      <c r="G526" s="110"/>
      <c r="H526" s="171"/>
      <c r="I526" s="223"/>
    </row>
    <row r="527" spans="1:9" s="8" customFormat="1" ht="22.5" customHeight="1" hidden="1">
      <c r="A527" s="19"/>
      <c r="B527" s="119" t="s">
        <v>486</v>
      </c>
      <c r="C527" s="119"/>
      <c r="D527" s="119"/>
      <c r="E527" s="9"/>
      <c r="F527" s="9"/>
      <c r="G527" s="110"/>
      <c r="H527" s="171"/>
      <c r="I527" s="223"/>
    </row>
    <row r="528" spans="1:9" s="8" customFormat="1" ht="22.5" customHeight="1" hidden="1">
      <c r="A528" s="19"/>
      <c r="B528" s="119"/>
      <c r="C528" s="119"/>
      <c r="D528" s="119"/>
      <c r="E528" s="9"/>
      <c r="F528" s="9"/>
      <c r="G528" s="110"/>
      <c r="H528" s="171"/>
      <c r="I528" s="223"/>
    </row>
    <row r="529" spans="1:10" s="8" customFormat="1" ht="22.5" customHeight="1" hidden="1">
      <c r="A529" s="19"/>
      <c r="B529" s="19"/>
      <c r="C529" s="190"/>
      <c r="D529" s="187"/>
      <c r="E529" s="187"/>
      <c r="F529" s="209" t="s">
        <v>1</v>
      </c>
      <c r="G529" s="209"/>
      <c r="I529" s="188"/>
      <c r="J529" s="201"/>
    </row>
    <row r="530" spans="1:10" s="8" customFormat="1" ht="59.25" customHeight="1" hidden="1">
      <c r="A530" s="19"/>
      <c r="B530" s="190" t="s">
        <v>687</v>
      </c>
      <c r="D530" s="187"/>
      <c r="E530" s="187"/>
      <c r="F530" s="209"/>
      <c r="G530" s="209"/>
      <c r="I530" s="188"/>
      <c r="J530" s="201"/>
    </row>
    <row r="531" spans="1:10" s="8" customFormat="1" ht="22.5" customHeight="1" hidden="1">
      <c r="A531" s="19"/>
      <c r="B531" s="191" t="s">
        <v>691</v>
      </c>
      <c r="C531" s="191"/>
      <c r="D531" s="191"/>
      <c r="E531" s="191"/>
      <c r="F531" s="191"/>
      <c r="G531" s="191"/>
      <c r="H531" s="191"/>
      <c r="I531" s="191"/>
      <c r="J531" s="191"/>
    </row>
    <row r="532" spans="1:10" s="8" customFormat="1" ht="22.5" customHeight="1" hidden="1">
      <c r="A532" s="19"/>
      <c r="B532" s="191"/>
      <c r="C532" s="191"/>
      <c r="D532" s="191"/>
      <c r="E532" s="191"/>
      <c r="F532" s="191"/>
      <c r="G532" s="191"/>
      <c r="H532" s="191"/>
      <c r="I532" s="191"/>
      <c r="J532" s="191"/>
    </row>
    <row r="533" spans="1:9" s="7" customFormat="1" ht="29.25" customHeight="1">
      <c r="A533" s="35" t="s">
        <v>671</v>
      </c>
      <c r="B533" s="173"/>
      <c r="C533" s="173"/>
      <c r="D533" s="173"/>
      <c r="E533" s="173"/>
      <c r="F533" s="173"/>
      <c r="G533" s="173"/>
      <c r="H533" s="173"/>
      <c r="I533" s="173"/>
    </row>
    <row r="534" spans="3:9" ht="12" customHeight="1" hidden="1">
      <c r="C534" s="124"/>
      <c r="D534" s="125" t="s">
        <v>4</v>
      </c>
      <c r="E534" s="124"/>
      <c r="F534" s="124"/>
      <c r="H534" s="16"/>
      <c r="I534" s="16"/>
    </row>
    <row r="535" ht="15.75" customHeight="1" hidden="1"/>
    <row r="536" spans="1:11" ht="15.75" customHeight="1" hidden="1">
      <c r="A536" s="26" t="s">
        <v>5</v>
      </c>
      <c r="B536" s="27" t="s">
        <v>6</v>
      </c>
      <c r="C536" s="28" t="s">
        <v>7</v>
      </c>
      <c r="D536" s="28" t="s">
        <v>249</v>
      </c>
      <c r="E536" s="28" t="s">
        <v>9</v>
      </c>
      <c r="F536" s="28" t="s">
        <v>10</v>
      </c>
      <c r="G536" s="128" t="s">
        <v>250</v>
      </c>
      <c r="H536" s="28" t="s">
        <v>251</v>
      </c>
      <c r="I536" s="28" t="s">
        <v>13</v>
      </c>
      <c r="J536" s="71"/>
      <c r="K536" s="71"/>
    </row>
    <row r="537" spans="1:9" ht="31.5" customHeight="1" hidden="1">
      <c r="A537" s="29"/>
      <c r="B537" s="30"/>
      <c r="C537" s="31"/>
      <c r="D537" s="31"/>
      <c r="E537" s="31"/>
      <c r="F537" s="31"/>
      <c r="G537" s="129"/>
      <c r="H537" s="31"/>
      <c r="I537" s="31"/>
    </row>
    <row r="538" spans="1:9" ht="60" customHeight="1" hidden="1">
      <c r="A538" s="32"/>
      <c r="B538" s="33"/>
      <c r="C538" s="34"/>
      <c r="D538" s="34"/>
      <c r="E538" s="34"/>
      <c r="F538" s="34"/>
      <c r="G538" s="130"/>
      <c r="H538" s="34"/>
      <c r="I538" s="34"/>
    </row>
    <row r="539" spans="1:9" ht="20.25" customHeight="1" hidden="1">
      <c r="A539" s="32">
        <v>1</v>
      </c>
      <c r="B539" s="33">
        <v>2</v>
      </c>
      <c r="C539" s="34">
        <v>3</v>
      </c>
      <c r="D539" s="34">
        <v>4</v>
      </c>
      <c r="E539" s="34">
        <v>5</v>
      </c>
      <c r="F539" s="34">
        <v>6</v>
      </c>
      <c r="G539" s="130">
        <v>7</v>
      </c>
      <c r="H539" s="34">
        <v>8</v>
      </c>
      <c r="I539" s="72">
        <v>9</v>
      </c>
    </row>
    <row r="540" spans="1:14" s="6" customFormat="1" ht="30" customHeight="1">
      <c r="A540" s="37">
        <v>325</v>
      </c>
      <c r="B540" s="160" t="s">
        <v>440</v>
      </c>
      <c r="C540" s="133" t="s">
        <v>441</v>
      </c>
      <c r="D540" s="133" t="s">
        <v>17</v>
      </c>
      <c r="E540" s="41" t="s">
        <v>18</v>
      </c>
      <c r="F540" s="41">
        <v>1</v>
      </c>
      <c r="G540" s="42">
        <v>660.02</v>
      </c>
      <c r="H540" s="210" t="s">
        <v>63</v>
      </c>
      <c r="I540" s="224" t="s">
        <v>253</v>
      </c>
      <c r="L540" s="166">
        <f>G540-K540</f>
        <v>660.02</v>
      </c>
      <c r="M540" s="6">
        <f>199-125</f>
        <v>74</v>
      </c>
      <c r="N540" s="6">
        <f>27223.2-17100</f>
        <v>10123.2</v>
      </c>
    </row>
    <row r="541" spans="1:12" s="6" customFormat="1" ht="30" customHeight="1">
      <c r="A541" s="37">
        <v>326</v>
      </c>
      <c r="B541" s="160" t="s">
        <v>442</v>
      </c>
      <c r="C541" s="174" t="s">
        <v>16</v>
      </c>
      <c r="D541" s="133" t="s">
        <v>17</v>
      </c>
      <c r="E541" s="41" t="s">
        <v>25</v>
      </c>
      <c r="F541" s="41">
        <v>30</v>
      </c>
      <c r="G541" s="42">
        <v>606.9</v>
      </c>
      <c r="H541" s="210" t="s">
        <v>63</v>
      </c>
      <c r="I541" s="224"/>
      <c r="L541" s="166">
        <f>G541-K541</f>
        <v>606.9</v>
      </c>
    </row>
    <row r="542" spans="1:12" s="6" customFormat="1" ht="30" customHeight="1">
      <c r="A542" s="37">
        <v>327</v>
      </c>
      <c r="B542" s="174" t="s">
        <v>443</v>
      </c>
      <c r="C542" s="174" t="s">
        <v>171</v>
      </c>
      <c r="D542" s="133" t="s">
        <v>17</v>
      </c>
      <c r="E542" s="41" t="s">
        <v>25</v>
      </c>
      <c r="F542" s="41">
        <v>5</v>
      </c>
      <c r="G542" s="211">
        <v>95.1</v>
      </c>
      <c r="H542" s="210" t="s">
        <v>63</v>
      </c>
      <c r="I542" s="224"/>
      <c r="L542" s="166"/>
    </row>
    <row r="543" spans="1:12" s="6" customFormat="1" ht="30" customHeight="1">
      <c r="A543" s="37">
        <v>328</v>
      </c>
      <c r="B543" s="174" t="s">
        <v>444</v>
      </c>
      <c r="C543" s="174" t="s">
        <v>24</v>
      </c>
      <c r="D543" s="133" t="s">
        <v>17</v>
      </c>
      <c r="E543" s="162" t="s">
        <v>306</v>
      </c>
      <c r="F543" s="41">
        <v>5</v>
      </c>
      <c r="G543" s="211">
        <v>340.4</v>
      </c>
      <c r="H543" s="210" t="s">
        <v>63</v>
      </c>
      <c r="I543" s="224"/>
      <c r="L543" s="166"/>
    </row>
    <row r="544" spans="1:12" s="6" customFormat="1" ht="60" customHeight="1">
      <c r="A544" s="37">
        <v>329</v>
      </c>
      <c r="B544" s="174" t="s">
        <v>445</v>
      </c>
      <c r="C544" s="174" t="s">
        <v>21</v>
      </c>
      <c r="D544" s="133" t="s">
        <v>17</v>
      </c>
      <c r="E544" s="162" t="s">
        <v>306</v>
      </c>
      <c r="F544" s="41">
        <v>3</v>
      </c>
      <c r="G544" s="211">
        <v>1111.32</v>
      </c>
      <c r="H544" s="210" t="s">
        <v>63</v>
      </c>
      <c r="I544" s="224"/>
      <c r="L544" s="166"/>
    </row>
    <row r="545" spans="1:12" s="6" customFormat="1" ht="29.25" customHeight="1">
      <c r="A545" s="37">
        <v>330</v>
      </c>
      <c r="B545" s="212" t="s">
        <v>446</v>
      </c>
      <c r="C545" s="174" t="s">
        <v>24</v>
      </c>
      <c r="D545" s="133" t="s">
        <v>17</v>
      </c>
      <c r="E545" s="162" t="s">
        <v>25</v>
      </c>
      <c r="F545" s="41">
        <v>1</v>
      </c>
      <c r="G545" s="211">
        <v>174.64</v>
      </c>
      <c r="H545" s="210" t="s">
        <v>63</v>
      </c>
      <c r="I545" s="224"/>
      <c r="L545" s="166"/>
    </row>
    <row r="546" spans="1:12" s="6" customFormat="1" ht="29.25" customHeight="1">
      <c r="A546" s="37">
        <v>331</v>
      </c>
      <c r="B546" s="174" t="s">
        <v>447</v>
      </c>
      <c r="C546" s="174" t="s">
        <v>24</v>
      </c>
      <c r="D546" s="133" t="s">
        <v>17</v>
      </c>
      <c r="E546" s="162" t="s">
        <v>25</v>
      </c>
      <c r="F546" s="41">
        <v>10</v>
      </c>
      <c r="G546" s="211">
        <v>106</v>
      </c>
      <c r="H546" s="210" t="s">
        <v>63</v>
      </c>
      <c r="I546" s="224"/>
      <c r="L546" s="166"/>
    </row>
    <row r="547" spans="1:12" s="6" customFormat="1" ht="29.25" customHeight="1">
      <c r="A547" s="37">
        <v>332</v>
      </c>
      <c r="B547" s="174" t="s">
        <v>448</v>
      </c>
      <c r="C547" s="174" t="s">
        <v>24</v>
      </c>
      <c r="D547" s="133" t="s">
        <v>17</v>
      </c>
      <c r="E547" s="3" t="s">
        <v>306</v>
      </c>
      <c r="F547" s="41">
        <v>2</v>
      </c>
      <c r="G547" s="13">
        <v>248.14</v>
      </c>
      <c r="H547" s="210" t="s">
        <v>63</v>
      </c>
      <c r="I547" s="224"/>
      <c r="L547" s="166"/>
    </row>
    <row r="548" spans="1:12" s="6" customFormat="1" ht="60" customHeight="1">
      <c r="A548" s="37">
        <v>333</v>
      </c>
      <c r="B548" s="174" t="s">
        <v>449</v>
      </c>
      <c r="C548" s="174" t="s">
        <v>21</v>
      </c>
      <c r="D548" s="133" t="s">
        <v>17</v>
      </c>
      <c r="E548" s="162" t="s">
        <v>25</v>
      </c>
      <c r="F548" s="41">
        <v>4</v>
      </c>
      <c r="G548" s="211">
        <v>99.12</v>
      </c>
      <c r="H548" s="210" t="s">
        <v>63</v>
      </c>
      <c r="I548" s="224"/>
      <c r="L548" s="166"/>
    </row>
    <row r="549" spans="1:12" s="6" customFormat="1" ht="29.25" customHeight="1">
      <c r="A549" s="37">
        <v>334</v>
      </c>
      <c r="B549" s="174" t="s">
        <v>15</v>
      </c>
      <c r="C549" s="174" t="s">
        <v>16</v>
      </c>
      <c r="D549" s="133" t="s">
        <v>17</v>
      </c>
      <c r="E549" s="162" t="s">
        <v>18</v>
      </c>
      <c r="F549" s="41">
        <v>12</v>
      </c>
      <c r="G549" s="211">
        <v>2520</v>
      </c>
      <c r="H549" s="210" t="s">
        <v>63</v>
      </c>
      <c r="I549" s="224"/>
      <c r="L549" s="166"/>
    </row>
    <row r="550" spans="1:12" s="6" customFormat="1" ht="29.25" customHeight="1">
      <c r="A550" s="37">
        <v>335</v>
      </c>
      <c r="B550" s="174" t="s">
        <v>422</v>
      </c>
      <c r="C550" s="174" t="s">
        <v>27</v>
      </c>
      <c r="D550" s="133" t="s">
        <v>17</v>
      </c>
      <c r="E550" s="162" t="s">
        <v>306</v>
      </c>
      <c r="F550" s="41">
        <v>30</v>
      </c>
      <c r="G550" s="211">
        <v>1780.5</v>
      </c>
      <c r="H550" s="210" t="s">
        <v>63</v>
      </c>
      <c r="I550" s="224"/>
      <c r="L550" s="166"/>
    </row>
    <row r="551" spans="1:12" s="6" customFormat="1" ht="30" customHeight="1">
      <c r="A551" s="37">
        <v>336</v>
      </c>
      <c r="B551" s="174" t="s">
        <v>450</v>
      </c>
      <c r="C551" s="174" t="s">
        <v>27</v>
      </c>
      <c r="D551" s="210" t="s">
        <v>17</v>
      </c>
      <c r="E551" s="162" t="s">
        <v>22</v>
      </c>
      <c r="F551" s="41">
        <v>2</v>
      </c>
      <c r="G551" s="211">
        <v>352.76</v>
      </c>
      <c r="H551" s="210" t="s">
        <v>63</v>
      </c>
      <c r="I551" s="224"/>
      <c r="L551" s="166"/>
    </row>
    <row r="552" spans="1:12" s="6" customFormat="1" ht="30" customHeight="1">
      <c r="A552" s="37">
        <v>337</v>
      </c>
      <c r="B552" s="174" t="s">
        <v>351</v>
      </c>
      <c r="C552" s="213" t="s">
        <v>31</v>
      </c>
      <c r="D552" s="210" t="s">
        <v>17</v>
      </c>
      <c r="E552" s="162" t="s">
        <v>22</v>
      </c>
      <c r="F552" s="41">
        <v>5</v>
      </c>
      <c r="G552" s="211">
        <v>131.3</v>
      </c>
      <c r="H552" s="210" t="s">
        <v>63</v>
      </c>
      <c r="I552" s="224"/>
      <c r="L552" s="166"/>
    </row>
    <row r="553" spans="1:12" s="6" customFormat="1" ht="30" customHeight="1">
      <c r="A553" s="37">
        <v>338</v>
      </c>
      <c r="B553" s="174" t="s">
        <v>383</v>
      </c>
      <c r="C553" s="174" t="s">
        <v>346</v>
      </c>
      <c r="D553" s="133" t="s">
        <v>17</v>
      </c>
      <c r="E553" s="162" t="s">
        <v>34</v>
      </c>
      <c r="F553" s="41">
        <v>6</v>
      </c>
      <c r="G553" s="211">
        <v>5940</v>
      </c>
      <c r="H553" s="210" t="s">
        <v>63</v>
      </c>
      <c r="I553" s="224"/>
      <c r="L553" s="166"/>
    </row>
    <row r="554" spans="1:12" s="6" customFormat="1" ht="30" customHeight="1">
      <c r="A554" s="37">
        <v>339</v>
      </c>
      <c r="B554" s="212" t="s">
        <v>451</v>
      </c>
      <c r="C554" s="174" t="s">
        <v>27</v>
      </c>
      <c r="D554" s="133" t="s">
        <v>17</v>
      </c>
      <c r="E554" s="162" t="s">
        <v>306</v>
      </c>
      <c r="F554" s="41">
        <v>4</v>
      </c>
      <c r="G554" s="211">
        <v>236</v>
      </c>
      <c r="H554" s="210" t="s">
        <v>63</v>
      </c>
      <c r="I554" s="224"/>
      <c r="L554" s="166"/>
    </row>
    <row r="555" spans="1:12" s="6" customFormat="1" ht="29.25" customHeight="1">
      <c r="A555" s="37">
        <v>340</v>
      </c>
      <c r="B555" s="174" t="s">
        <v>452</v>
      </c>
      <c r="C555" s="174" t="s">
        <v>27</v>
      </c>
      <c r="D555" s="133" t="s">
        <v>17</v>
      </c>
      <c r="E555" s="162" t="s">
        <v>25</v>
      </c>
      <c r="F555" s="41">
        <v>5</v>
      </c>
      <c r="G555" s="211">
        <v>84.3</v>
      </c>
      <c r="H555" s="210" t="s">
        <v>63</v>
      </c>
      <c r="I555" s="224"/>
      <c r="L555" s="166"/>
    </row>
    <row r="556" spans="1:12" s="6" customFormat="1" ht="29.25" customHeight="1">
      <c r="A556" s="37">
        <v>341</v>
      </c>
      <c r="B556" s="174" t="s">
        <v>453</v>
      </c>
      <c r="C556" s="174" t="s">
        <v>179</v>
      </c>
      <c r="D556" s="133" t="s">
        <v>17</v>
      </c>
      <c r="E556" s="162" t="s">
        <v>25</v>
      </c>
      <c r="F556" s="41">
        <v>6</v>
      </c>
      <c r="G556" s="211">
        <v>1283.88</v>
      </c>
      <c r="H556" s="210" t="s">
        <v>63</v>
      </c>
      <c r="I556" s="224"/>
      <c r="L556" s="166"/>
    </row>
    <row r="557" spans="1:12" s="6" customFormat="1" ht="29.25" customHeight="1">
      <c r="A557" s="37">
        <v>342</v>
      </c>
      <c r="B557" s="174" t="s">
        <v>454</v>
      </c>
      <c r="C557" s="174" t="s">
        <v>24</v>
      </c>
      <c r="D557" s="133" t="s">
        <v>17</v>
      </c>
      <c r="E557" s="162" t="s">
        <v>25</v>
      </c>
      <c r="F557" s="41">
        <v>5</v>
      </c>
      <c r="G557" s="211">
        <v>391.7</v>
      </c>
      <c r="H557" s="210" t="s">
        <v>63</v>
      </c>
      <c r="I557" s="224"/>
      <c r="L557" s="166"/>
    </row>
    <row r="558" spans="1:12" s="6" customFormat="1" ht="29.25" customHeight="1">
      <c r="A558" s="37">
        <v>343</v>
      </c>
      <c r="B558" s="174" t="s">
        <v>455</v>
      </c>
      <c r="C558" s="174" t="s">
        <v>24</v>
      </c>
      <c r="D558" s="133" t="s">
        <v>17</v>
      </c>
      <c r="E558" s="162" t="s">
        <v>25</v>
      </c>
      <c r="F558" s="41">
        <v>3</v>
      </c>
      <c r="G558" s="211">
        <v>274.5</v>
      </c>
      <c r="H558" s="210" t="s">
        <v>63</v>
      </c>
      <c r="I558" s="224"/>
      <c r="L558" s="166"/>
    </row>
    <row r="559" spans="1:12" s="6" customFormat="1" ht="29.25" customHeight="1">
      <c r="A559" s="37">
        <v>344</v>
      </c>
      <c r="B559" s="174" t="s">
        <v>456</v>
      </c>
      <c r="C559" s="174" t="s">
        <v>40</v>
      </c>
      <c r="D559" s="133" t="s">
        <v>17</v>
      </c>
      <c r="E559" s="162" t="s">
        <v>25</v>
      </c>
      <c r="F559" s="41">
        <v>2</v>
      </c>
      <c r="G559" s="211">
        <v>418.9</v>
      </c>
      <c r="H559" s="210" t="s">
        <v>63</v>
      </c>
      <c r="I559" s="224"/>
      <c r="L559" s="166"/>
    </row>
    <row r="560" spans="1:12" s="6" customFormat="1" ht="30" customHeight="1">
      <c r="A560" s="37">
        <v>345</v>
      </c>
      <c r="B560" s="214" t="s">
        <v>457</v>
      </c>
      <c r="C560" s="174" t="s">
        <v>24</v>
      </c>
      <c r="D560" s="133" t="s">
        <v>17</v>
      </c>
      <c r="E560" s="162" t="s">
        <v>22</v>
      </c>
      <c r="F560" s="41">
        <v>1</v>
      </c>
      <c r="G560" s="211">
        <v>35.37</v>
      </c>
      <c r="H560" s="210" t="s">
        <v>63</v>
      </c>
      <c r="I560" s="224"/>
      <c r="L560" s="166"/>
    </row>
    <row r="561" spans="1:12" s="6" customFormat="1" ht="29.25" customHeight="1">
      <c r="A561" s="37">
        <v>346</v>
      </c>
      <c r="B561" s="174" t="s">
        <v>458</v>
      </c>
      <c r="C561" s="174" t="s">
        <v>40</v>
      </c>
      <c r="D561" s="133" t="s">
        <v>17</v>
      </c>
      <c r="E561" s="162" t="s">
        <v>306</v>
      </c>
      <c r="F561" s="41">
        <v>4</v>
      </c>
      <c r="G561" s="211">
        <v>971.84</v>
      </c>
      <c r="H561" s="210" t="s">
        <v>63</v>
      </c>
      <c r="I561" s="224"/>
      <c r="L561" s="166"/>
    </row>
    <row r="562" spans="1:12" s="6" customFormat="1" ht="60" customHeight="1">
      <c r="A562" s="37">
        <v>347</v>
      </c>
      <c r="B562" s="174" t="s">
        <v>459</v>
      </c>
      <c r="C562" s="214" t="s">
        <v>460</v>
      </c>
      <c r="D562" s="133" t="s">
        <v>17</v>
      </c>
      <c r="E562" s="162" t="s">
        <v>306</v>
      </c>
      <c r="F562" s="41">
        <v>6</v>
      </c>
      <c r="G562" s="211">
        <v>564</v>
      </c>
      <c r="H562" s="210" t="s">
        <v>63</v>
      </c>
      <c r="I562" s="224"/>
      <c r="L562" s="166"/>
    </row>
    <row r="563" spans="1:12" s="6" customFormat="1" ht="30" customHeight="1">
      <c r="A563" s="37">
        <v>348</v>
      </c>
      <c r="B563" s="212" t="s">
        <v>461</v>
      </c>
      <c r="C563" s="174" t="s">
        <v>24</v>
      </c>
      <c r="D563" s="133" t="s">
        <v>17</v>
      </c>
      <c r="E563" s="162" t="s">
        <v>306</v>
      </c>
      <c r="F563" s="41">
        <v>2</v>
      </c>
      <c r="G563" s="211">
        <v>500</v>
      </c>
      <c r="H563" s="210" t="s">
        <v>63</v>
      </c>
      <c r="I563" s="224"/>
      <c r="L563" s="166"/>
    </row>
    <row r="564" spans="1:12" s="6" customFormat="1" ht="45" customHeight="1">
      <c r="A564" s="37">
        <v>349</v>
      </c>
      <c r="B564" s="174" t="s">
        <v>462</v>
      </c>
      <c r="C564" s="214" t="s">
        <v>38</v>
      </c>
      <c r="D564" s="133" t="s">
        <v>17</v>
      </c>
      <c r="E564" s="162" t="s">
        <v>306</v>
      </c>
      <c r="F564" s="41">
        <v>6</v>
      </c>
      <c r="G564" s="211">
        <v>1032</v>
      </c>
      <c r="H564" s="210" t="s">
        <v>63</v>
      </c>
      <c r="I564" s="224"/>
      <c r="L564" s="166"/>
    </row>
    <row r="565" spans="1:12" s="6" customFormat="1" ht="30" customHeight="1">
      <c r="A565" s="37">
        <v>350</v>
      </c>
      <c r="B565" s="212" t="s">
        <v>463</v>
      </c>
      <c r="C565" s="214" t="s">
        <v>44</v>
      </c>
      <c r="D565" s="133" t="s">
        <v>17</v>
      </c>
      <c r="E565" s="162" t="s">
        <v>306</v>
      </c>
      <c r="F565" s="41">
        <v>15</v>
      </c>
      <c r="G565" s="211">
        <v>300</v>
      </c>
      <c r="H565" s="210" t="s">
        <v>63</v>
      </c>
      <c r="I565" s="224"/>
      <c r="L565" s="166"/>
    </row>
    <row r="566" spans="1:12" s="6" customFormat="1" ht="60" customHeight="1">
      <c r="A566" s="37">
        <v>351</v>
      </c>
      <c r="B566" s="212" t="s">
        <v>464</v>
      </c>
      <c r="C566" s="174" t="s">
        <v>47</v>
      </c>
      <c r="D566" s="133" t="s">
        <v>17</v>
      </c>
      <c r="E566" s="162" t="s">
        <v>48</v>
      </c>
      <c r="F566" s="41">
        <v>10</v>
      </c>
      <c r="G566" s="211">
        <v>550</v>
      </c>
      <c r="H566" s="210" t="s">
        <v>63</v>
      </c>
      <c r="I566" s="224"/>
      <c r="L566" s="166"/>
    </row>
    <row r="567" spans="1:12" s="6" customFormat="1" ht="30" customHeight="1">
      <c r="A567" s="37">
        <v>352</v>
      </c>
      <c r="B567" s="174" t="s">
        <v>51</v>
      </c>
      <c r="C567" s="174" t="s">
        <v>52</v>
      </c>
      <c r="D567" s="133" t="s">
        <v>17</v>
      </c>
      <c r="E567" s="138" t="s">
        <v>25</v>
      </c>
      <c r="F567" s="215">
        <v>34</v>
      </c>
      <c r="G567" s="216">
        <v>676.94</v>
      </c>
      <c r="H567" s="210" t="s">
        <v>63</v>
      </c>
      <c r="I567" s="224"/>
      <c r="L567" s="166"/>
    </row>
    <row r="568" spans="1:12" ht="30" customHeight="1">
      <c r="A568" s="37">
        <v>353</v>
      </c>
      <c r="B568" s="38" t="s">
        <v>57</v>
      </c>
      <c r="C568" s="40" t="s">
        <v>58</v>
      </c>
      <c r="D568" s="40" t="s">
        <v>17</v>
      </c>
      <c r="E568" s="41" t="s">
        <v>25</v>
      </c>
      <c r="F568" s="41">
        <v>1</v>
      </c>
      <c r="G568" s="42">
        <v>2500.2</v>
      </c>
      <c r="H568" s="40" t="s">
        <v>63</v>
      </c>
      <c r="I568" s="224"/>
      <c r="L568" s="74"/>
    </row>
    <row r="569" spans="1:12" s="6" customFormat="1" ht="45" customHeight="1">
      <c r="A569" s="37">
        <v>354</v>
      </c>
      <c r="B569" s="174" t="s">
        <v>465</v>
      </c>
      <c r="C569" s="174" t="s">
        <v>204</v>
      </c>
      <c r="D569" s="133" t="s">
        <v>17</v>
      </c>
      <c r="E569" s="138" t="s">
        <v>126</v>
      </c>
      <c r="F569" s="217">
        <v>4.5</v>
      </c>
      <c r="G569" s="216">
        <v>15297.26</v>
      </c>
      <c r="H569" s="210" t="s">
        <v>63</v>
      </c>
      <c r="I569" s="224"/>
      <c r="L569" s="166"/>
    </row>
    <row r="570" spans="1:12" s="6" customFormat="1" ht="45" customHeight="1">
      <c r="A570" s="37">
        <v>355</v>
      </c>
      <c r="B570" s="174" t="s">
        <v>466</v>
      </c>
      <c r="C570" s="174" t="s">
        <v>204</v>
      </c>
      <c r="D570" s="133" t="s">
        <v>17</v>
      </c>
      <c r="E570" s="138" t="s">
        <v>126</v>
      </c>
      <c r="F570" s="218">
        <f>30.808+0.911965</f>
        <v>31.719965</v>
      </c>
      <c r="G570" s="219">
        <f>81532.45+2413.49</f>
        <v>83945.94</v>
      </c>
      <c r="H570" s="210" t="s">
        <v>63</v>
      </c>
      <c r="I570" s="224"/>
      <c r="L570" s="166"/>
    </row>
    <row r="571" spans="1:12" s="6" customFormat="1" ht="45" customHeight="1">
      <c r="A571" s="37">
        <v>356</v>
      </c>
      <c r="B571" s="174" t="s">
        <v>467</v>
      </c>
      <c r="C571" s="174" t="s">
        <v>168</v>
      </c>
      <c r="D571" s="133" t="s">
        <v>17</v>
      </c>
      <c r="E571" s="138" t="s">
        <v>306</v>
      </c>
      <c r="F571" s="215">
        <v>12</v>
      </c>
      <c r="G571" s="216">
        <v>3840</v>
      </c>
      <c r="H571" s="210" t="s">
        <v>63</v>
      </c>
      <c r="I571" s="224"/>
      <c r="L571" s="166"/>
    </row>
    <row r="572" spans="1:12" s="6" customFormat="1" ht="45" customHeight="1">
      <c r="A572" s="37">
        <v>357</v>
      </c>
      <c r="B572" s="174" t="s">
        <v>206</v>
      </c>
      <c r="C572" s="174" t="s">
        <v>204</v>
      </c>
      <c r="D572" s="133" t="s">
        <v>17</v>
      </c>
      <c r="E572" s="138" t="s">
        <v>207</v>
      </c>
      <c r="F572" s="220">
        <v>18.8</v>
      </c>
      <c r="G572" s="216">
        <v>5157.4</v>
      </c>
      <c r="H572" s="210" t="s">
        <v>63</v>
      </c>
      <c r="I572" s="224"/>
      <c r="L572" s="166"/>
    </row>
    <row r="573" spans="1:12" s="6" customFormat="1" ht="30" customHeight="1">
      <c r="A573" s="37">
        <v>358</v>
      </c>
      <c r="B573" s="221" t="s">
        <v>208</v>
      </c>
      <c r="C573" s="174" t="s">
        <v>209</v>
      </c>
      <c r="D573" s="133" t="s">
        <v>17</v>
      </c>
      <c r="E573" s="138" t="s">
        <v>210</v>
      </c>
      <c r="F573" s="220">
        <v>18.56</v>
      </c>
      <c r="G573" s="216">
        <v>3521.57</v>
      </c>
      <c r="H573" s="210" t="s">
        <v>63</v>
      </c>
      <c r="I573" s="224"/>
      <c r="L573" s="166"/>
    </row>
    <row r="574" spans="1:14" ht="32.25" customHeight="1" hidden="1">
      <c r="A574" s="37"/>
      <c r="B574" s="45" t="s">
        <v>59</v>
      </c>
      <c r="C574" s="46"/>
      <c r="D574" s="40"/>
      <c r="E574" s="41"/>
      <c r="F574" s="41"/>
      <c r="G574" s="42">
        <f>SUM(G540:G573)</f>
        <v>135748</v>
      </c>
      <c r="H574" s="51"/>
      <c r="I574" s="224"/>
      <c r="K574" s="74">
        <f>SUM(K540:K573)</f>
        <v>0</v>
      </c>
      <c r="L574" s="74">
        <f>SUM(L540:L573)</f>
        <v>1266.92</v>
      </c>
      <c r="N574" s="74">
        <f>K574-M574</f>
        <v>0</v>
      </c>
    </row>
    <row r="575" spans="1:14" ht="30" customHeight="1">
      <c r="A575" s="37">
        <v>359</v>
      </c>
      <c r="B575" s="38" t="s">
        <v>220</v>
      </c>
      <c r="C575" s="40" t="s">
        <v>221</v>
      </c>
      <c r="D575" s="40" t="s">
        <v>62</v>
      </c>
      <c r="E575" s="41" t="s">
        <v>34</v>
      </c>
      <c r="F575" s="222">
        <v>15</v>
      </c>
      <c r="G575" s="158">
        <v>201</v>
      </c>
      <c r="H575" s="210" t="s">
        <v>63</v>
      </c>
      <c r="I575" s="224"/>
      <c r="K575" s="74"/>
      <c r="L575" s="74"/>
      <c r="N575" s="74"/>
    </row>
    <row r="576" spans="1:14" ht="30" customHeight="1">
      <c r="A576" s="37">
        <v>360</v>
      </c>
      <c r="B576" s="38" t="s">
        <v>216</v>
      </c>
      <c r="C576" s="40" t="s">
        <v>217</v>
      </c>
      <c r="D576" s="40" t="s">
        <v>62</v>
      </c>
      <c r="E576" s="41" t="s">
        <v>34</v>
      </c>
      <c r="F576" s="222">
        <v>60</v>
      </c>
      <c r="G576" s="158">
        <f>313.5+823.5</f>
        <v>1137</v>
      </c>
      <c r="H576" s="210" t="s">
        <v>63</v>
      </c>
      <c r="I576" s="224"/>
      <c r="K576" s="74"/>
      <c r="L576" s="74"/>
      <c r="N576" s="74"/>
    </row>
    <row r="577" spans="1:14" ht="30" customHeight="1">
      <c r="A577" s="37">
        <v>361</v>
      </c>
      <c r="B577" s="38" t="s">
        <v>64</v>
      </c>
      <c r="C577" s="40" t="s">
        <v>65</v>
      </c>
      <c r="D577" s="40" t="s">
        <v>62</v>
      </c>
      <c r="E577" s="41" t="s">
        <v>34</v>
      </c>
      <c r="F577" s="222">
        <v>500</v>
      </c>
      <c r="G577" s="158">
        <f>1750+6720</f>
        <v>8470</v>
      </c>
      <c r="H577" s="210" t="s">
        <v>63</v>
      </c>
      <c r="I577" s="224"/>
      <c r="K577" s="74"/>
      <c r="L577" s="74"/>
      <c r="N577" s="74"/>
    </row>
    <row r="578" spans="1:14" ht="30" customHeight="1">
      <c r="A578" s="37">
        <v>362</v>
      </c>
      <c r="B578" s="71" t="s">
        <v>218</v>
      </c>
      <c r="C578" s="40" t="s">
        <v>219</v>
      </c>
      <c r="D578" s="40" t="s">
        <v>62</v>
      </c>
      <c r="E578" s="41" t="s">
        <v>34</v>
      </c>
      <c r="F578" s="222">
        <v>5</v>
      </c>
      <c r="G578" s="158">
        <f>45.6+69</f>
        <v>114.6</v>
      </c>
      <c r="H578" s="210" t="s">
        <v>63</v>
      </c>
      <c r="I578" s="224"/>
      <c r="K578" s="74"/>
      <c r="L578" s="74"/>
      <c r="N578" s="74"/>
    </row>
    <row r="579" spans="1:14" ht="30" customHeight="1">
      <c r="A579" s="37">
        <v>363</v>
      </c>
      <c r="B579" s="38" t="s">
        <v>71</v>
      </c>
      <c r="C579" s="71" t="s">
        <v>72</v>
      </c>
      <c r="D579" s="40" t="s">
        <v>62</v>
      </c>
      <c r="E579" s="41" t="s">
        <v>34</v>
      </c>
      <c r="F579" s="222">
        <v>90</v>
      </c>
      <c r="G579" s="158">
        <f>340+1071</f>
        <v>1411</v>
      </c>
      <c r="H579" s="210" t="s">
        <v>63</v>
      </c>
      <c r="I579" s="224"/>
      <c r="K579" s="74"/>
      <c r="L579" s="74"/>
      <c r="N579" s="74"/>
    </row>
    <row r="580" spans="1:14" ht="30" customHeight="1">
      <c r="A580" s="37">
        <v>364</v>
      </c>
      <c r="B580" s="38" t="s">
        <v>73</v>
      </c>
      <c r="C580" s="40" t="s">
        <v>74</v>
      </c>
      <c r="D580" s="40" t="s">
        <v>62</v>
      </c>
      <c r="E580" s="41" t="s">
        <v>34</v>
      </c>
      <c r="F580" s="222">
        <v>40</v>
      </c>
      <c r="G580" s="158">
        <f>488+460</f>
        <v>948</v>
      </c>
      <c r="H580" s="210" t="s">
        <v>63</v>
      </c>
      <c r="I580" s="224"/>
      <c r="K580" s="74"/>
      <c r="L580" s="74"/>
      <c r="N580" s="74"/>
    </row>
    <row r="581" spans="1:14" ht="30" customHeight="1">
      <c r="A581" s="37">
        <v>365</v>
      </c>
      <c r="B581" s="38" t="s">
        <v>75</v>
      </c>
      <c r="C581" s="71" t="s">
        <v>76</v>
      </c>
      <c r="D581" s="40" t="s">
        <v>62</v>
      </c>
      <c r="E581" s="41" t="s">
        <v>77</v>
      </c>
      <c r="F581" s="222">
        <v>45</v>
      </c>
      <c r="G581" s="158">
        <f>727+2667</f>
        <v>3394</v>
      </c>
      <c r="H581" s="210" t="s">
        <v>63</v>
      </c>
      <c r="I581" s="224"/>
      <c r="K581" s="74"/>
      <c r="L581" s="74"/>
      <c r="N581" s="74"/>
    </row>
    <row r="582" spans="1:14" ht="30" customHeight="1">
      <c r="A582" s="37">
        <v>366</v>
      </c>
      <c r="B582" s="38" t="s">
        <v>78</v>
      </c>
      <c r="C582" s="40" t="s">
        <v>79</v>
      </c>
      <c r="D582" s="40" t="s">
        <v>62</v>
      </c>
      <c r="E582" s="41" t="s">
        <v>34</v>
      </c>
      <c r="F582" s="222">
        <v>40</v>
      </c>
      <c r="G582" s="158">
        <f>1538+10776.5</f>
        <v>12314.5</v>
      </c>
      <c r="H582" s="210" t="s">
        <v>63</v>
      </c>
      <c r="I582" s="224"/>
      <c r="K582" s="74"/>
      <c r="L582" s="74"/>
      <c r="N582" s="74"/>
    </row>
    <row r="583" spans="1:14" ht="45" customHeight="1">
      <c r="A583" s="37">
        <v>367</v>
      </c>
      <c r="B583" s="38" t="s">
        <v>80</v>
      </c>
      <c r="C583" s="40" t="s">
        <v>81</v>
      </c>
      <c r="D583" s="40" t="s">
        <v>62</v>
      </c>
      <c r="E583" s="41" t="s">
        <v>82</v>
      </c>
      <c r="F583" s="222">
        <f>9.9+42.3</f>
        <v>52.199999999999996</v>
      </c>
      <c r="G583" s="158">
        <f>425.7+1683.54</f>
        <v>2109.24</v>
      </c>
      <c r="H583" s="210" t="s">
        <v>63</v>
      </c>
      <c r="I583" s="224"/>
      <c r="K583" s="74"/>
      <c r="L583" s="74"/>
      <c r="N583" s="74"/>
    </row>
    <row r="584" spans="1:14" ht="30" customHeight="1">
      <c r="A584" s="37">
        <v>368</v>
      </c>
      <c r="B584" s="38" t="s">
        <v>83</v>
      </c>
      <c r="C584" s="40" t="s">
        <v>72</v>
      </c>
      <c r="D584" s="40" t="s">
        <v>62</v>
      </c>
      <c r="E584" s="41" t="s">
        <v>34</v>
      </c>
      <c r="F584" s="222">
        <v>106</v>
      </c>
      <c r="G584" s="158">
        <f>975+1725.2</f>
        <v>2700.2</v>
      </c>
      <c r="H584" s="210" t="s">
        <v>63</v>
      </c>
      <c r="I584" s="224"/>
      <c r="K584" s="74"/>
      <c r="L584" s="74"/>
      <c r="N584" s="74"/>
    </row>
    <row r="585" spans="1:14" ht="45" customHeight="1">
      <c r="A585" s="37">
        <v>369</v>
      </c>
      <c r="B585" s="38" t="s">
        <v>84</v>
      </c>
      <c r="C585" s="40" t="s">
        <v>85</v>
      </c>
      <c r="D585" s="40" t="s">
        <v>62</v>
      </c>
      <c r="E585" s="41" t="s">
        <v>34</v>
      </c>
      <c r="F585" s="222">
        <f>19.5</f>
        <v>19.5</v>
      </c>
      <c r="G585" s="158">
        <f>758.55+1536.6</f>
        <v>2295.1499999999996</v>
      </c>
      <c r="H585" s="210" t="s">
        <v>63</v>
      </c>
      <c r="I585" s="224"/>
      <c r="K585" s="74"/>
      <c r="L585" s="74"/>
      <c r="N585" s="74"/>
    </row>
    <row r="586" spans="1:14" ht="30" customHeight="1">
      <c r="A586" s="37">
        <v>370</v>
      </c>
      <c r="B586" s="38" t="s">
        <v>665</v>
      </c>
      <c r="C586" s="40" t="s">
        <v>666</v>
      </c>
      <c r="D586" s="40" t="s">
        <v>62</v>
      </c>
      <c r="E586" s="41" t="s">
        <v>34</v>
      </c>
      <c r="F586" s="222">
        <v>122</v>
      </c>
      <c r="G586" s="158">
        <v>15591.6</v>
      </c>
      <c r="H586" s="210" t="s">
        <v>63</v>
      </c>
      <c r="I586" s="224"/>
      <c r="K586" s="74"/>
      <c r="L586" s="74"/>
      <c r="N586" s="74"/>
    </row>
    <row r="587" spans="1:14" ht="30" customHeight="1">
      <c r="A587" s="37">
        <v>371</v>
      </c>
      <c r="B587" s="38" t="s">
        <v>268</v>
      </c>
      <c r="C587" s="40" t="s">
        <v>70</v>
      </c>
      <c r="D587" s="40" t="s">
        <v>62</v>
      </c>
      <c r="E587" s="41" t="s">
        <v>34</v>
      </c>
      <c r="F587" s="222">
        <v>6</v>
      </c>
      <c r="G587" s="158">
        <f>40+82.8</f>
        <v>122.8</v>
      </c>
      <c r="H587" s="210" t="s">
        <v>63</v>
      </c>
      <c r="I587" s="224"/>
      <c r="K587" s="74"/>
      <c r="L587" s="74"/>
      <c r="N587" s="74"/>
    </row>
    <row r="588" spans="1:14" ht="30" customHeight="1">
      <c r="A588" s="37">
        <v>372</v>
      </c>
      <c r="B588" s="38" t="s">
        <v>88</v>
      </c>
      <c r="C588" s="40" t="s">
        <v>85</v>
      </c>
      <c r="D588" s="40" t="s">
        <v>62</v>
      </c>
      <c r="E588" s="41" t="s">
        <v>34</v>
      </c>
      <c r="F588" s="222">
        <v>55</v>
      </c>
      <c r="G588" s="158">
        <f>1233+5607</f>
        <v>6840</v>
      </c>
      <c r="H588" s="210" t="s">
        <v>63</v>
      </c>
      <c r="I588" s="224"/>
      <c r="K588" s="74"/>
      <c r="L588" s="74"/>
      <c r="N588" s="74"/>
    </row>
    <row r="589" spans="1:14" ht="45" customHeight="1">
      <c r="A589" s="37">
        <v>373</v>
      </c>
      <c r="B589" s="38" t="s">
        <v>60</v>
      </c>
      <c r="C589" s="40" t="s">
        <v>61</v>
      </c>
      <c r="D589" s="40" t="s">
        <v>62</v>
      </c>
      <c r="E589" s="41" t="s">
        <v>34</v>
      </c>
      <c r="F589" s="222">
        <v>10</v>
      </c>
      <c r="G589" s="158">
        <v>436</v>
      </c>
      <c r="H589" s="210" t="s">
        <v>63</v>
      </c>
      <c r="I589" s="224"/>
      <c r="K589" s="74"/>
      <c r="L589" s="74"/>
      <c r="N589" s="74"/>
    </row>
    <row r="590" spans="1:14" ht="30" customHeight="1">
      <c r="A590" s="37">
        <v>374</v>
      </c>
      <c r="B590" s="38" t="s">
        <v>89</v>
      </c>
      <c r="C590" s="40" t="s">
        <v>90</v>
      </c>
      <c r="D590" s="40" t="s">
        <v>62</v>
      </c>
      <c r="E590" s="41" t="s">
        <v>34</v>
      </c>
      <c r="F590" s="222">
        <v>55</v>
      </c>
      <c r="G590" s="158">
        <f>745.5+1980</f>
        <v>2725.5</v>
      </c>
      <c r="H590" s="210" t="s">
        <v>63</v>
      </c>
      <c r="I590" s="224"/>
      <c r="K590" s="74"/>
      <c r="L590" s="74"/>
      <c r="N590" s="74"/>
    </row>
    <row r="591" spans="1:14" ht="30" customHeight="1">
      <c r="A591" s="37">
        <v>375</v>
      </c>
      <c r="B591" s="38" t="s">
        <v>91</v>
      </c>
      <c r="C591" s="40" t="s">
        <v>92</v>
      </c>
      <c r="D591" s="40" t="s">
        <v>62</v>
      </c>
      <c r="E591" s="41" t="s">
        <v>34</v>
      </c>
      <c r="F591" s="222">
        <f>15+75</f>
        <v>90</v>
      </c>
      <c r="G591" s="158">
        <f>2506.5+12540</f>
        <v>15046.5</v>
      </c>
      <c r="H591" s="210" t="s">
        <v>63</v>
      </c>
      <c r="I591" s="224"/>
      <c r="K591" s="74"/>
      <c r="L591" s="74"/>
      <c r="N591" s="74"/>
    </row>
    <row r="592" spans="1:14" ht="30" customHeight="1">
      <c r="A592" s="37">
        <v>376</v>
      </c>
      <c r="B592" s="38" t="s">
        <v>274</v>
      </c>
      <c r="C592" s="40" t="s">
        <v>275</v>
      </c>
      <c r="D592" s="40" t="s">
        <v>62</v>
      </c>
      <c r="E592" s="41" t="s">
        <v>34</v>
      </c>
      <c r="F592" s="222">
        <v>150</v>
      </c>
      <c r="G592" s="158">
        <f>1800+3900</f>
        <v>5700</v>
      </c>
      <c r="H592" s="210" t="s">
        <v>63</v>
      </c>
      <c r="I592" s="224"/>
      <c r="K592" s="74"/>
      <c r="L592" s="74"/>
      <c r="N592" s="74"/>
    </row>
    <row r="593" spans="1:14" ht="30" customHeight="1">
      <c r="A593" s="37">
        <v>377</v>
      </c>
      <c r="B593" s="38" t="s">
        <v>222</v>
      </c>
      <c r="C593" s="40" t="s">
        <v>223</v>
      </c>
      <c r="D593" s="40" t="s">
        <v>62</v>
      </c>
      <c r="E593" s="41" t="s">
        <v>34</v>
      </c>
      <c r="F593" s="222">
        <v>65</v>
      </c>
      <c r="G593" s="158">
        <f>300+960</f>
        <v>1260</v>
      </c>
      <c r="H593" s="210" t="s">
        <v>63</v>
      </c>
      <c r="I593" s="224"/>
      <c r="K593" s="74"/>
      <c r="L593" s="74"/>
      <c r="N593" s="74"/>
    </row>
    <row r="594" spans="1:14" ht="30" customHeight="1">
      <c r="A594" s="37">
        <v>378</v>
      </c>
      <c r="B594" s="38" t="s">
        <v>93</v>
      </c>
      <c r="C594" s="40" t="s">
        <v>94</v>
      </c>
      <c r="D594" s="40" t="s">
        <v>62</v>
      </c>
      <c r="E594" s="41" t="s">
        <v>34</v>
      </c>
      <c r="F594" s="222">
        <f>3.8+29.2</f>
        <v>33</v>
      </c>
      <c r="G594" s="158">
        <f>489.82+3796</f>
        <v>4285.82</v>
      </c>
      <c r="H594" s="210" t="s">
        <v>63</v>
      </c>
      <c r="I594" s="224"/>
      <c r="K594" s="74"/>
      <c r="L594" s="74"/>
      <c r="N594" s="74"/>
    </row>
    <row r="595" spans="1:14" ht="30" customHeight="1">
      <c r="A595" s="37">
        <v>379</v>
      </c>
      <c r="B595" s="38" t="s">
        <v>224</v>
      </c>
      <c r="C595" s="40" t="s">
        <v>225</v>
      </c>
      <c r="D595" s="40" t="s">
        <v>62</v>
      </c>
      <c r="E595" s="41" t="s">
        <v>34</v>
      </c>
      <c r="F595" s="222">
        <v>15</v>
      </c>
      <c r="G595" s="158">
        <f>62+127</f>
        <v>189</v>
      </c>
      <c r="H595" s="210" t="s">
        <v>63</v>
      </c>
      <c r="I595" s="224"/>
      <c r="K595" s="74"/>
      <c r="L595" s="74"/>
      <c r="N595" s="74"/>
    </row>
    <row r="596" spans="1:14" ht="30" customHeight="1">
      <c r="A596" s="37">
        <v>380</v>
      </c>
      <c r="B596" s="40" t="s">
        <v>226</v>
      </c>
      <c r="C596" s="40" t="s">
        <v>227</v>
      </c>
      <c r="D596" s="40" t="s">
        <v>62</v>
      </c>
      <c r="E596" s="41" t="s">
        <v>34</v>
      </c>
      <c r="F596" s="222">
        <v>15</v>
      </c>
      <c r="G596" s="158">
        <f>673.75+1387</f>
        <v>2060.75</v>
      </c>
      <c r="H596" s="210" t="s">
        <v>63</v>
      </c>
      <c r="I596" s="224"/>
      <c r="K596" s="74"/>
      <c r="L596" s="74"/>
      <c r="N596" s="74"/>
    </row>
    <row r="597" spans="1:14" ht="30" customHeight="1">
      <c r="A597" s="37">
        <v>381</v>
      </c>
      <c r="B597" s="40" t="s">
        <v>276</v>
      </c>
      <c r="C597" s="40" t="s">
        <v>277</v>
      </c>
      <c r="D597" s="40" t="s">
        <v>62</v>
      </c>
      <c r="E597" s="41" t="s">
        <v>34</v>
      </c>
      <c r="F597" s="222">
        <v>20</v>
      </c>
      <c r="G597" s="158">
        <f>1278.9+2464.8</f>
        <v>3743.7000000000003</v>
      </c>
      <c r="H597" s="210" t="s">
        <v>63</v>
      </c>
      <c r="I597" s="224"/>
      <c r="K597" s="74"/>
      <c r="L597" s="74"/>
      <c r="N597" s="74"/>
    </row>
    <row r="598" spans="1:14" ht="30" customHeight="1">
      <c r="A598" s="37">
        <v>382</v>
      </c>
      <c r="B598" s="40" t="s">
        <v>95</v>
      </c>
      <c r="C598" s="40" t="s">
        <v>96</v>
      </c>
      <c r="D598" s="40" t="s">
        <v>62</v>
      </c>
      <c r="E598" s="41" t="s">
        <v>34</v>
      </c>
      <c r="F598" s="222">
        <v>75</v>
      </c>
      <c r="G598" s="158">
        <f>2788.5+12696</f>
        <v>15484.5</v>
      </c>
      <c r="H598" s="210" t="s">
        <v>63</v>
      </c>
      <c r="I598" s="224"/>
      <c r="K598" s="74"/>
      <c r="L598" s="74"/>
      <c r="N598" s="74"/>
    </row>
    <row r="599" spans="1:14" ht="30" customHeight="1">
      <c r="A599" s="37">
        <v>383</v>
      </c>
      <c r="B599" s="40" t="s">
        <v>667</v>
      </c>
      <c r="C599" s="40" t="s">
        <v>668</v>
      </c>
      <c r="D599" s="40" t="s">
        <v>62</v>
      </c>
      <c r="E599" s="41" t="s">
        <v>34</v>
      </c>
      <c r="F599" s="222">
        <v>100</v>
      </c>
      <c r="G599" s="158">
        <v>23000</v>
      </c>
      <c r="H599" s="210" t="s">
        <v>63</v>
      </c>
      <c r="I599" s="224"/>
      <c r="K599" s="74"/>
      <c r="L599" s="74"/>
      <c r="N599" s="74"/>
    </row>
    <row r="600" spans="1:14" ht="45" customHeight="1">
      <c r="A600" s="37">
        <v>384</v>
      </c>
      <c r="B600" s="54" t="s">
        <v>98</v>
      </c>
      <c r="C600" s="40" t="s">
        <v>61</v>
      </c>
      <c r="D600" s="40" t="s">
        <v>62</v>
      </c>
      <c r="E600" s="41" t="s">
        <v>25</v>
      </c>
      <c r="F600" s="222">
        <v>600</v>
      </c>
      <c r="G600" s="158">
        <f>7590+9.18+109.2</f>
        <v>7708.38</v>
      </c>
      <c r="H600" s="210" t="s">
        <v>63</v>
      </c>
      <c r="I600" s="224"/>
      <c r="K600" s="74"/>
      <c r="L600" s="74"/>
      <c r="N600" s="74"/>
    </row>
    <row r="601" spans="1:14" ht="30" customHeight="1">
      <c r="A601" s="37">
        <v>385</v>
      </c>
      <c r="B601" s="40" t="s">
        <v>99</v>
      </c>
      <c r="C601" s="40" t="s">
        <v>100</v>
      </c>
      <c r="D601" s="40" t="s">
        <v>62</v>
      </c>
      <c r="E601" s="41" t="s">
        <v>34</v>
      </c>
      <c r="F601" s="222">
        <v>60.3</v>
      </c>
      <c r="G601" s="158">
        <f>3081.76+15310</f>
        <v>18391.760000000002</v>
      </c>
      <c r="H601" s="210" t="s">
        <v>63</v>
      </c>
      <c r="I601" s="224"/>
      <c r="K601" s="74"/>
      <c r="L601" s="74"/>
      <c r="N601" s="74"/>
    </row>
    <row r="602" spans="1:14" ht="30" customHeight="1">
      <c r="A602" s="37">
        <v>386</v>
      </c>
      <c r="B602" s="40" t="s">
        <v>228</v>
      </c>
      <c r="C602" s="40" t="s">
        <v>229</v>
      </c>
      <c r="D602" s="40" t="s">
        <v>62</v>
      </c>
      <c r="E602" s="41" t="s">
        <v>34</v>
      </c>
      <c r="F602" s="222">
        <v>60</v>
      </c>
      <c r="G602" s="158">
        <f>742.5+1840.5</f>
        <v>2583</v>
      </c>
      <c r="H602" s="210" t="s">
        <v>63</v>
      </c>
      <c r="I602" s="224"/>
      <c r="K602" s="74"/>
      <c r="L602" s="74"/>
      <c r="N602" s="74"/>
    </row>
    <row r="603" spans="1:14" ht="30" customHeight="1">
      <c r="A603" s="37">
        <v>387</v>
      </c>
      <c r="B603" s="40" t="s">
        <v>103</v>
      </c>
      <c r="C603" s="40" t="s">
        <v>104</v>
      </c>
      <c r="D603" s="40" t="s">
        <v>62</v>
      </c>
      <c r="E603" s="41" t="s">
        <v>25</v>
      </c>
      <c r="F603" s="222">
        <v>2000</v>
      </c>
      <c r="G603" s="158">
        <v>9280</v>
      </c>
      <c r="H603" s="210" t="s">
        <v>63</v>
      </c>
      <c r="I603" s="224"/>
      <c r="K603" s="74"/>
      <c r="L603" s="74"/>
      <c r="N603" s="74"/>
    </row>
    <row r="604" spans="1:14" ht="30" customHeight="1">
      <c r="A604" s="37">
        <v>388</v>
      </c>
      <c r="B604" s="40" t="s">
        <v>230</v>
      </c>
      <c r="C604" s="40" t="s">
        <v>231</v>
      </c>
      <c r="D604" s="40" t="s">
        <v>62</v>
      </c>
      <c r="E604" s="41" t="s">
        <v>77</v>
      </c>
      <c r="F604" s="222">
        <v>40</v>
      </c>
      <c r="G604" s="158">
        <f>586+1803</f>
        <v>2389</v>
      </c>
      <c r="H604" s="210" t="s">
        <v>63</v>
      </c>
      <c r="I604" s="224"/>
      <c r="K604" s="74"/>
      <c r="L604" s="74"/>
      <c r="N604" s="74"/>
    </row>
    <row r="605" spans="1:14" ht="30" customHeight="1">
      <c r="A605" s="37">
        <v>389</v>
      </c>
      <c r="B605" s="38" t="s">
        <v>468</v>
      </c>
      <c r="C605" s="40" t="s">
        <v>85</v>
      </c>
      <c r="D605" s="40" t="s">
        <v>62</v>
      </c>
      <c r="E605" s="41" t="s">
        <v>25</v>
      </c>
      <c r="F605" s="222">
        <v>20</v>
      </c>
      <c r="G605" s="158">
        <v>2880</v>
      </c>
      <c r="H605" s="210" t="s">
        <v>63</v>
      </c>
      <c r="I605" s="224"/>
      <c r="K605" s="74"/>
      <c r="L605" s="74"/>
      <c r="N605" s="74"/>
    </row>
    <row r="606" spans="1:14" ht="30" customHeight="1">
      <c r="A606" s="37">
        <v>390</v>
      </c>
      <c r="B606" s="38" t="s">
        <v>105</v>
      </c>
      <c r="C606" s="40" t="s">
        <v>70</v>
      </c>
      <c r="D606" s="40" t="s">
        <v>62</v>
      </c>
      <c r="E606" s="41" t="s">
        <v>34</v>
      </c>
      <c r="F606" s="222">
        <v>40</v>
      </c>
      <c r="G606" s="158">
        <f>339+987</f>
        <v>1326</v>
      </c>
      <c r="H606" s="210" t="s">
        <v>63</v>
      </c>
      <c r="I606" s="224"/>
      <c r="K606" s="74"/>
      <c r="L606" s="74"/>
      <c r="N606" s="74"/>
    </row>
    <row r="607" spans="1:14" ht="30" customHeight="1">
      <c r="A607" s="37">
        <v>391</v>
      </c>
      <c r="B607" s="38" t="s">
        <v>278</v>
      </c>
      <c r="C607" s="40" t="s">
        <v>70</v>
      </c>
      <c r="D607" s="40" t="s">
        <v>62</v>
      </c>
      <c r="E607" s="41" t="s">
        <v>34</v>
      </c>
      <c r="F607" s="222">
        <v>10</v>
      </c>
      <c r="G607" s="158">
        <v>181</v>
      </c>
      <c r="H607" s="210" t="s">
        <v>63</v>
      </c>
      <c r="I607" s="224"/>
      <c r="K607" s="74"/>
      <c r="L607" s="74"/>
      <c r="N607" s="74"/>
    </row>
    <row r="608" spans="1:14" ht="32.25" customHeight="1" hidden="1">
      <c r="A608" s="37"/>
      <c r="B608" s="178" t="s">
        <v>106</v>
      </c>
      <c r="C608" s="179"/>
      <c r="D608" s="40"/>
      <c r="E608" s="41"/>
      <c r="F608" s="41"/>
      <c r="G608" s="42">
        <f>SUM(G575:G607)</f>
        <v>176320</v>
      </c>
      <c r="H608" s="51"/>
      <c r="I608" s="224"/>
      <c r="K608" s="74"/>
      <c r="L608" s="74"/>
      <c r="N608" s="74"/>
    </row>
    <row r="609" spans="1:12" ht="30" customHeight="1">
      <c r="A609" s="37">
        <v>392</v>
      </c>
      <c r="B609" s="98" t="s">
        <v>318</v>
      </c>
      <c r="C609" s="99" t="s">
        <v>108</v>
      </c>
      <c r="D609" s="99" t="s">
        <v>109</v>
      </c>
      <c r="E609" s="162" t="s">
        <v>110</v>
      </c>
      <c r="F609" s="41">
        <v>9</v>
      </c>
      <c r="G609" s="42">
        <v>849.6</v>
      </c>
      <c r="H609" s="137" t="s">
        <v>63</v>
      </c>
      <c r="I609" s="224"/>
      <c r="K609" s="12">
        <v>94.4</v>
      </c>
      <c r="L609" s="74">
        <f aca="true" t="shared" si="9" ref="L609:L616">G609-K609</f>
        <v>755.2</v>
      </c>
    </row>
    <row r="610" spans="1:12" ht="30" customHeight="1">
      <c r="A610" s="37">
        <v>393</v>
      </c>
      <c r="B610" s="98" t="s">
        <v>295</v>
      </c>
      <c r="C610" s="99" t="s">
        <v>112</v>
      </c>
      <c r="D610" s="99" t="s">
        <v>109</v>
      </c>
      <c r="E610" s="162" t="s">
        <v>113</v>
      </c>
      <c r="F610" s="41">
        <f>1500+1500</f>
        <v>3000</v>
      </c>
      <c r="G610" s="42">
        <f>1800+1800</f>
        <v>3600</v>
      </c>
      <c r="H610" s="137" t="s">
        <v>63</v>
      </c>
      <c r="I610" s="224"/>
      <c r="L610" s="74">
        <f t="shared" si="9"/>
        <v>3600</v>
      </c>
    </row>
    <row r="611" spans="1:12" ht="30" customHeight="1">
      <c r="A611" s="37">
        <v>394</v>
      </c>
      <c r="B611" s="38" t="s">
        <v>235</v>
      </c>
      <c r="C611" s="40" t="s">
        <v>116</v>
      </c>
      <c r="D611" s="99" t="s">
        <v>109</v>
      </c>
      <c r="E611" s="41" t="s">
        <v>113</v>
      </c>
      <c r="F611" s="50" t="s">
        <v>117</v>
      </c>
      <c r="G611" s="42">
        <v>492</v>
      </c>
      <c r="H611" s="137" t="s">
        <v>63</v>
      </c>
      <c r="I611" s="224"/>
      <c r="L611" s="74">
        <f t="shared" si="9"/>
        <v>492</v>
      </c>
    </row>
    <row r="612" spans="1:12" ht="45" customHeight="1">
      <c r="A612" s="37">
        <v>395</v>
      </c>
      <c r="B612" s="38" t="s">
        <v>236</v>
      </c>
      <c r="C612" s="40" t="s">
        <v>119</v>
      </c>
      <c r="D612" s="99" t="s">
        <v>109</v>
      </c>
      <c r="E612" s="41" t="s">
        <v>120</v>
      </c>
      <c r="F612" s="41" t="s">
        <v>121</v>
      </c>
      <c r="G612" s="42">
        <v>4576.86</v>
      </c>
      <c r="H612" s="137" t="s">
        <v>63</v>
      </c>
      <c r="I612" s="224"/>
      <c r="K612" s="12">
        <f>800</f>
        <v>800</v>
      </c>
      <c r="L612" s="74">
        <f t="shared" si="9"/>
        <v>3776.8599999999997</v>
      </c>
    </row>
    <row r="613" spans="1:12" ht="30" customHeight="1">
      <c r="A613" s="37">
        <v>396</v>
      </c>
      <c r="B613" s="38" t="s">
        <v>433</v>
      </c>
      <c r="C613" s="40" t="s">
        <v>234</v>
      </c>
      <c r="D613" s="40" t="s">
        <v>109</v>
      </c>
      <c r="E613" s="41" t="s">
        <v>113</v>
      </c>
      <c r="F613" s="41" t="s">
        <v>117</v>
      </c>
      <c r="G613" s="42">
        <v>3780</v>
      </c>
      <c r="H613" s="137" t="s">
        <v>63</v>
      </c>
      <c r="I613" s="224"/>
      <c r="K613" s="12">
        <f>154</f>
        <v>154</v>
      </c>
      <c r="L613" s="74">
        <f t="shared" si="9"/>
        <v>3626</v>
      </c>
    </row>
    <row r="614" spans="1:12" ht="30" customHeight="1">
      <c r="A614" s="37">
        <v>397</v>
      </c>
      <c r="B614" s="98" t="s">
        <v>296</v>
      </c>
      <c r="C614" s="99" t="s">
        <v>326</v>
      </c>
      <c r="D614" s="40" t="s">
        <v>109</v>
      </c>
      <c r="E614" s="41" t="s">
        <v>113</v>
      </c>
      <c r="F614" s="41" t="s">
        <v>117</v>
      </c>
      <c r="G614" s="42">
        <v>1413</v>
      </c>
      <c r="H614" s="137" t="s">
        <v>63</v>
      </c>
      <c r="I614" s="224"/>
      <c r="K614" s="12">
        <f>1418.81</f>
        <v>1418.81</v>
      </c>
      <c r="L614" s="74">
        <f t="shared" si="9"/>
        <v>-5.809999999999945</v>
      </c>
    </row>
    <row r="615" spans="1:12" ht="30" customHeight="1">
      <c r="A615" s="37">
        <v>398</v>
      </c>
      <c r="B615" s="38" t="s">
        <v>286</v>
      </c>
      <c r="C615" s="40" t="s">
        <v>239</v>
      </c>
      <c r="D615" s="40" t="s">
        <v>109</v>
      </c>
      <c r="E615" s="41" t="s">
        <v>285</v>
      </c>
      <c r="F615" s="41">
        <v>444.1</v>
      </c>
      <c r="G615" s="42">
        <v>1314.54</v>
      </c>
      <c r="H615" s="137" t="s">
        <v>19</v>
      </c>
      <c r="I615" s="224"/>
      <c r="K615" s="12">
        <v>1260</v>
      </c>
      <c r="L615" s="74">
        <f t="shared" si="9"/>
        <v>54.539999999999964</v>
      </c>
    </row>
    <row r="616" spans="1:12" ht="30" customHeight="1">
      <c r="A616" s="37">
        <v>399</v>
      </c>
      <c r="B616" s="38" t="s">
        <v>127</v>
      </c>
      <c r="C616" s="40" t="s">
        <v>239</v>
      </c>
      <c r="D616" s="40" t="s">
        <v>109</v>
      </c>
      <c r="E616" s="41" t="s">
        <v>285</v>
      </c>
      <c r="F616" s="41">
        <v>2500</v>
      </c>
      <c r="G616" s="42">
        <f>6450-1800</f>
        <v>4650</v>
      </c>
      <c r="H616" s="137" t="s">
        <v>19</v>
      </c>
      <c r="I616" s="224"/>
      <c r="K616" s="12">
        <f>470.96</f>
        <v>470.96</v>
      </c>
      <c r="L616" s="74">
        <f t="shared" si="9"/>
        <v>4179.04</v>
      </c>
    </row>
    <row r="617" spans="1:12" ht="32.25" customHeight="1" hidden="1">
      <c r="A617" s="37">
        <v>410</v>
      </c>
      <c r="B617" s="45" t="s">
        <v>136</v>
      </c>
      <c r="C617" s="46"/>
      <c r="D617" s="40"/>
      <c r="E617" s="41"/>
      <c r="F617" s="41"/>
      <c r="G617" s="42">
        <f>SUM(G609:G616)</f>
        <v>20676</v>
      </c>
      <c r="H617" s="51"/>
      <c r="I617" s="224"/>
      <c r="K617" s="74">
        <f>SUM(K609:K616)</f>
        <v>4198.17</v>
      </c>
      <c r="L617" s="74" t="e">
        <f>SUM(#REF!)</f>
        <v>#REF!</v>
      </c>
    </row>
    <row r="618" spans="1:11" ht="30" customHeight="1">
      <c r="A618" s="37">
        <v>400</v>
      </c>
      <c r="B618" s="38" t="s">
        <v>137</v>
      </c>
      <c r="C618" s="52" t="s">
        <v>138</v>
      </c>
      <c r="D618" s="40" t="s">
        <v>139</v>
      </c>
      <c r="E618" s="41" t="s">
        <v>140</v>
      </c>
      <c r="F618" s="53">
        <f>G618/2878.55</f>
        <v>175.90106129822306</v>
      </c>
      <c r="G618" s="42">
        <v>506340</v>
      </c>
      <c r="H618" s="40" t="s">
        <v>63</v>
      </c>
      <c r="I618" s="224"/>
      <c r="K618" s="12">
        <f>209240</f>
        <v>209240</v>
      </c>
    </row>
    <row r="619" spans="1:9" ht="21" customHeight="1" hidden="1">
      <c r="A619" s="37">
        <v>412</v>
      </c>
      <c r="B619" s="45" t="s">
        <v>141</v>
      </c>
      <c r="C619" s="46"/>
      <c r="D619" s="40"/>
      <c r="E619" s="41"/>
      <c r="F619" s="41"/>
      <c r="G619" s="42">
        <f>SUM(G618:G618)</f>
        <v>506340</v>
      </c>
      <c r="H619" s="51"/>
      <c r="I619" s="224"/>
    </row>
    <row r="620" spans="1:9" ht="30" customHeight="1">
      <c r="A620" s="37">
        <v>401</v>
      </c>
      <c r="B620" s="38" t="s">
        <v>244</v>
      </c>
      <c r="C620" s="54" t="s">
        <v>245</v>
      </c>
      <c r="D620" s="40" t="s">
        <v>246</v>
      </c>
      <c r="E620" s="41" t="s">
        <v>110</v>
      </c>
      <c r="F620" s="56">
        <f>G620/12.72</f>
        <v>111.63522012578616</v>
      </c>
      <c r="G620" s="42">
        <v>1420</v>
      </c>
      <c r="H620" s="40" t="s">
        <v>63</v>
      </c>
      <c r="I620" s="224"/>
    </row>
    <row r="621" spans="1:9" ht="25.5" customHeight="1" hidden="1">
      <c r="A621" s="37">
        <v>414</v>
      </c>
      <c r="B621" s="45" t="s">
        <v>247</v>
      </c>
      <c r="C621" s="46"/>
      <c r="D621" s="40"/>
      <c r="E621" s="41"/>
      <c r="F621" s="41"/>
      <c r="G621" s="42">
        <f>SUM(G620:G620)</f>
        <v>1420</v>
      </c>
      <c r="H621" s="51"/>
      <c r="I621" s="224"/>
    </row>
    <row r="622" spans="1:11" ht="30" customHeight="1">
      <c r="A622" s="37">
        <v>402</v>
      </c>
      <c r="B622" s="38" t="s">
        <v>142</v>
      </c>
      <c r="C622" s="54" t="s">
        <v>143</v>
      </c>
      <c r="D622" s="40" t="s">
        <v>144</v>
      </c>
      <c r="E622" s="41" t="s">
        <v>145</v>
      </c>
      <c r="F622" s="56">
        <f>G622/4.14243</f>
        <v>12692.308620785385</v>
      </c>
      <c r="G622" s="42">
        <v>52577</v>
      </c>
      <c r="H622" s="40" t="s">
        <v>63</v>
      </c>
      <c r="I622" s="224"/>
      <c r="K622" s="12">
        <f>20064.55+386.53</f>
        <v>20451.079999999998</v>
      </c>
    </row>
    <row r="623" spans="1:9" ht="21" customHeight="1" hidden="1">
      <c r="A623" s="37">
        <v>416</v>
      </c>
      <c r="B623" s="45" t="s">
        <v>146</v>
      </c>
      <c r="C623" s="46"/>
      <c r="D623" s="40"/>
      <c r="E623" s="41"/>
      <c r="F623" s="41"/>
      <c r="G623" s="42">
        <f>G622</f>
        <v>52577</v>
      </c>
      <c r="H623" s="51"/>
      <c r="I623" s="73"/>
    </row>
    <row r="624" spans="1:9" ht="21" customHeight="1" hidden="1">
      <c r="A624" s="19"/>
      <c r="B624" s="167"/>
      <c r="C624" s="167"/>
      <c r="D624" s="168"/>
      <c r="E624" s="207"/>
      <c r="F624" s="207"/>
      <c r="G624" s="110"/>
      <c r="H624" s="8"/>
      <c r="I624" s="223"/>
    </row>
    <row r="625" spans="1:9" ht="21" customHeight="1" hidden="1">
      <c r="A625" s="19"/>
      <c r="B625" s="208" t="s">
        <v>151</v>
      </c>
      <c r="C625" s="167"/>
      <c r="D625" s="168"/>
      <c r="E625" s="207"/>
      <c r="F625" s="207"/>
      <c r="G625" s="110"/>
      <c r="H625" s="8"/>
      <c r="I625" s="223"/>
    </row>
    <row r="626" spans="1:9" ht="21" customHeight="1" hidden="1">
      <c r="A626" s="19"/>
      <c r="B626" s="167" t="str">
        <f>B521</f>
        <v>Председатель  комитета по конкурсным закупкам </v>
      </c>
      <c r="C626" s="167"/>
      <c r="D626" s="225" t="str">
        <f>D521</f>
        <v>Степаненко Е.В.</v>
      </c>
      <c r="E626" s="226"/>
      <c r="F626" s="207"/>
      <c r="G626" s="110"/>
      <c r="H626" s="8"/>
      <c r="I626" s="223"/>
    </row>
    <row r="627" spans="1:9" ht="21" customHeight="1" hidden="1">
      <c r="A627" s="19"/>
      <c r="B627" s="167"/>
      <c r="C627" s="167"/>
      <c r="D627" s="227" t="str">
        <f>D522</f>
        <v>(ФИО, подпись)</v>
      </c>
      <c r="E627" s="228" t="s">
        <v>692</v>
      </c>
      <c r="F627" s="207"/>
      <c r="G627" s="110"/>
      <c r="H627" s="8"/>
      <c r="I627" s="223"/>
    </row>
    <row r="628" spans="1:9" ht="29.25" customHeight="1" hidden="1">
      <c r="A628" s="19"/>
      <c r="B628" s="167" t="str">
        <f>B523</f>
        <v>Секретарь комитета по конкурсным закупкам</v>
      </c>
      <c r="C628" s="167"/>
      <c r="D628" s="225" t="str">
        <f>D523</f>
        <v>Лукиенко М.Г.</v>
      </c>
      <c r="E628" s="226"/>
      <c r="F628" s="207"/>
      <c r="G628" s="110"/>
      <c r="H628" s="8"/>
      <c r="I628" s="223"/>
    </row>
    <row r="629" spans="1:9" ht="21" customHeight="1" hidden="1">
      <c r="A629" s="19"/>
      <c r="B629" s="167"/>
      <c r="C629" s="167"/>
      <c r="D629" s="168"/>
      <c r="E629" s="207"/>
      <c r="F629" s="207"/>
      <c r="G629" s="110"/>
      <c r="H629" s="8"/>
      <c r="I629" s="223"/>
    </row>
    <row r="630" spans="1:9" ht="21" customHeight="1" hidden="1">
      <c r="A630" s="19"/>
      <c r="B630" s="167" t="str">
        <f>B525</f>
        <v>СОГЛАСОВАНО:</v>
      </c>
      <c r="C630" s="167"/>
      <c r="D630" s="168"/>
      <c r="E630" s="207"/>
      <c r="F630" s="207"/>
      <c r="G630" s="110"/>
      <c r="H630" s="8"/>
      <c r="I630" s="223"/>
    </row>
    <row r="631" spans="1:9" ht="28.5" customHeight="1" hidden="1">
      <c r="A631" s="19"/>
      <c r="B631" s="229" t="str">
        <f>B526</f>
        <v>Начальник отдела образования администрации Новоазовского района</v>
      </c>
      <c r="C631" s="167"/>
      <c r="D631" s="225" t="str">
        <f>D526</f>
        <v>Сафронова А.В.</v>
      </c>
      <c r="E631" s="226"/>
      <c r="F631" s="207"/>
      <c r="G631" s="110"/>
      <c r="H631" s="8"/>
      <c r="I631" s="223"/>
    </row>
    <row r="632" spans="1:9" ht="28.5" customHeight="1" hidden="1">
      <c r="A632" s="19"/>
      <c r="B632" s="230" t="str">
        <f>B527</f>
        <v> (должность первого руководителя заказчика)</v>
      </c>
      <c r="C632" s="167"/>
      <c r="D632" s="168"/>
      <c r="E632" s="207"/>
      <c r="F632" s="207"/>
      <c r="G632" s="110"/>
      <c r="H632" s="8"/>
      <c r="I632" s="223"/>
    </row>
    <row r="633" spans="1:9" ht="28.5" customHeight="1" hidden="1">
      <c r="A633" s="19"/>
      <c r="B633" s="167"/>
      <c r="C633" s="167"/>
      <c r="D633" s="168"/>
      <c r="E633" s="207"/>
      <c r="F633" s="207"/>
      <c r="G633" s="110"/>
      <c r="H633" s="8"/>
      <c r="I633" s="223"/>
    </row>
    <row r="634" spans="1:9" ht="28.5" customHeight="1" hidden="1">
      <c r="A634" s="19"/>
      <c r="B634" s="167"/>
      <c r="C634" s="167"/>
      <c r="D634" s="168"/>
      <c r="E634" s="207"/>
      <c r="F634" s="207"/>
      <c r="G634" s="110"/>
      <c r="H634" s="8"/>
      <c r="I634" s="223"/>
    </row>
    <row r="635" spans="1:9" ht="28.5" customHeight="1" hidden="1">
      <c r="A635" s="19"/>
      <c r="B635" s="19"/>
      <c r="C635" s="190"/>
      <c r="D635" s="187"/>
      <c r="E635" s="187"/>
      <c r="F635" s="209" t="s">
        <v>1</v>
      </c>
      <c r="G635" s="209"/>
      <c r="H635" s="8"/>
      <c r="I635" s="223"/>
    </row>
    <row r="636" spans="1:9" ht="51.75" customHeight="1" hidden="1">
      <c r="A636" s="19"/>
      <c r="B636" s="190" t="s">
        <v>687</v>
      </c>
      <c r="C636" s="8"/>
      <c r="D636" s="187"/>
      <c r="E636" s="187"/>
      <c r="F636" s="209"/>
      <c r="G636" s="209"/>
      <c r="H636" s="8"/>
      <c r="I636" s="223"/>
    </row>
    <row r="637" spans="1:9" ht="16.5" customHeight="1" hidden="1">
      <c r="A637" s="19"/>
      <c r="B637" s="167"/>
      <c r="C637" s="167"/>
      <c r="D637" s="168"/>
      <c r="E637" s="207"/>
      <c r="F637" s="207"/>
      <c r="G637" s="110"/>
      <c r="H637" s="8"/>
      <c r="I637" s="223"/>
    </row>
    <row r="638" spans="1:9" ht="28.5" customHeight="1" hidden="1">
      <c r="A638" s="191" t="s">
        <v>416</v>
      </c>
      <c r="B638" s="191"/>
      <c r="C638" s="191"/>
      <c r="D638" s="191"/>
      <c r="E638" s="191"/>
      <c r="F638" s="191"/>
      <c r="G638" s="191"/>
      <c r="H638" s="191"/>
      <c r="I638" s="191"/>
    </row>
    <row r="639" spans="1:9" ht="28.5" customHeight="1" hidden="1">
      <c r="A639" s="191"/>
      <c r="B639" s="191"/>
      <c r="C639" s="191"/>
      <c r="D639" s="191"/>
      <c r="E639" s="191"/>
      <c r="F639" s="191"/>
      <c r="G639" s="191"/>
      <c r="H639" s="191"/>
      <c r="I639" s="191"/>
    </row>
    <row r="640" spans="1:9" s="7" customFormat="1" ht="29.25" customHeight="1">
      <c r="A640" s="35" t="s">
        <v>675</v>
      </c>
      <c r="B640" s="173"/>
      <c r="C640" s="173"/>
      <c r="D640" s="173"/>
      <c r="E640" s="173"/>
      <c r="F640" s="173"/>
      <c r="G640" s="173"/>
      <c r="H640" s="173"/>
      <c r="I640" s="173"/>
    </row>
    <row r="641" spans="3:9" ht="12" customHeight="1" hidden="1">
      <c r="C641" s="124"/>
      <c r="D641" s="125" t="s">
        <v>4</v>
      </c>
      <c r="E641" s="124"/>
      <c r="F641" s="124"/>
      <c r="H641" s="16"/>
      <c r="I641" s="16"/>
    </row>
    <row r="642" ht="15.75" customHeight="1" hidden="1"/>
    <row r="643" spans="1:11" ht="15.75" customHeight="1" hidden="1">
      <c r="A643" s="26" t="s">
        <v>5</v>
      </c>
      <c r="B643" s="27" t="s">
        <v>6</v>
      </c>
      <c r="C643" s="28" t="s">
        <v>7</v>
      </c>
      <c r="D643" s="28" t="s">
        <v>249</v>
      </c>
      <c r="E643" s="28" t="s">
        <v>9</v>
      </c>
      <c r="F643" s="28" t="s">
        <v>10</v>
      </c>
      <c r="G643" s="128" t="s">
        <v>250</v>
      </c>
      <c r="H643" s="28" t="s">
        <v>251</v>
      </c>
      <c r="I643" s="28" t="s">
        <v>13</v>
      </c>
      <c r="J643" s="71"/>
      <c r="K643" s="71"/>
    </row>
    <row r="644" spans="1:9" ht="31.5" customHeight="1" hidden="1">
      <c r="A644" s="29"/>
      <c r="B644" s="30"/>
      <c r="C644" s="31"/>
      <c r="D644" s="31"/>
      <c r="E644" s="31"/>
      <c r="F644" s="31"/>
      <c r="G644" s="129"/>
      <c r="H644" s="31"/>
      <c r="I644" s="31"/>
    </row>
    <row r="645" spans="1:9" ht="85.5" customHeight="1" hidden="1">
      <c r="A645" s="32"/>
      <c r="B645" s="33"/>
      <c r="C645" s="34"/>
      <c r="D645" s="34"/>
      <c r="E645" s="34"/>
      <c r="F645" s="34"/>
      <c r="G645" s="130"/>
      <c r="H645" s="34"/>
      <c r="I645" s="34"/>
    </row>
    <row r="646" spans="1:9" ht="20.25" customHeight="1" hidden="1">
      <c r="A646" s="32">
        <v>1</v>
      </c>
      <c r="B646" s="33">
        <v>2</v>
      </c>
      <c r="C646" s="34">
        <v>3</v>
      </c>
      <c r="D646" s="34">
        <v>4</v>
      </c>
      <c r="E646" s="34">
        <v>5</v>
      </c>
      <c r="F646" s="34">
        <v>6</v>
      </c>
      <c r="G646" s="130">
        <v>7</v>
      </c>
      <c r="H646" s="34">
        <v>8</v>
      </c>
      <c r="I646" s="72">
        <v>9</v>
      </c>
    </row>
    <row r="647" spans="1:9" ht="30" customHeight="1">
      <c r="A647" s="37">
        <v>403</v>
      </c>
      <c r="B647" s="38" t="s">
        <v>15</v>
      </c>
      <c r="C647" s="39" t="s">
        <v>16</v>
      </c>
      <c r="D647" s="40" t="s">
        <v>17</v>
      </c>
      <c r="E647" s="41" t="s">
        <v>18</v>
      </c>
      <c r="F647" s="41">
        <v>12</v>
      </c>
      <c r="G647" s="42">
        <v>2520</v>
      </c>
      <c r="H647" s="40" t="s">
        <v>19</v>
      </c>
      <c r="I647" s="73" t="s">
        <v>253</v>
      </c>
    </row>
    <row r="648" spans="1:9" ht="30" customHeight="1">
      <c r="A648" s="32">
        <v>404</v>
      </c>
      <c r="B648" s="94" t="s">
        <v>417</v>
      </c>
      <c r="C648" s="43" t="s">
        <v>24</v>
      </c>
      <c r="D648" s="40" t="s">
        <v>17</v>
      </c>
      <c r="E648" s="85" t="s">
        <v>25</v>
      </c>
      <c r="F648" s="85">
        <v>1</v>
      </c>
      <c r="G648" s="231">
        <v>170.34</v>
      </c>
      <c r="H648" s="40" t="s">
        <v>19</v>
      </c>
      <c r="I648" s="100"/>
    </row>
    <row r="649" spans="1:9" ht="30" customHeight="1">
      <c r="A649" s="37">
        <v>405</v>
      </c>
      <c r="B649" s="94" t="s">
        <v>418</v>
      </c>
      <c r="C649" s="43" t="s">
        <v>419</v>
      </c>
      <c r="D649" s="40" t="s">
        <v>17</v>
      </c>
      <c r="E649" s="85" t="s">
        <v>25</v>
      </c>
      <c r="F649" s="85">
        <v>6</v>
      </c>
      <c r="G649" s="231">
        <v>311.94</v>
      </c>
      <c r="H649" s="40" t="s">
        <v>19</v>
      </c>
      <c r="I649" s="100"/>
    </row>
    <row r="650" spans="1:9" ht="30" customHeight="1">
      <c r="A650" s="32">
        <v>406</v>
      </c>
      <c r="B650" s="94" t="s">
        <v>420</v>
      </c>
      <c r="C650" s="43" t="s">
        <v>24</v>
      </c>
      <c r="D650" s="40" t="s">
        <v>17</v>
      </c>
      <c r="E650" s="85" t="s">
        <v>25</v>
      </c>
      <c r="F650" s="34">
        <v>10</v>
      </c>
      <c r="G650" s="135">
        <v>746.6</v>
      </c>
      <c r="H650" s="40" t="s">
        <v>19</v>
      </c>
      <c r="I650" s="100"/>
    </row>
    <row r="651" spans="1:14" ht="30" customHeight="1">
      <c r="A651" s="37">
        <v>407</v>
      </c>
      <c r="B651" s="94" t="s">
        <v>421</v>
      </c>
      <c r="C651" s="43" t="s">
        <v>346</v>
      </c>
      <c r="D651" s="40" t="s">
        <v>17</v>
      </c>
      <c r="E651" s="41" t="s">
        <v>193</v>
      </c>
      <c r="F651" s="41">
        <v>8</v>
      </c>
      <c r="G651" s="42">
        <v>7920</v>
      </c>
      <c r="H651" s="40" t="s">
        <v>19</v>
      </c>
      <c r="I651" s="100"/>
      <c r="L651" s="74">
        <f>G651-K651</f>
        <v>7920</v>
      </c>
      <c r="M651" s="12">
        <f>199-125</f>
        <v>74</v>
      </c>
      <c r="N651" s="12">
        <f>27223.2-17100</f>
        <v>10123.2</v>
      </c>
    </row>
    <row r="652" spans="1:12" ht="30" customHeight="1">
      <c r="A652" s="32">
        <v>408</v>
      </c>
      <c r="B652" s="38" t="s">
        <v>422</v>
      </c>
      <c r="C652" s="40" t="s">
        <v>27</v>
      </c>
      <c r="D652" s="40" t="s">
        <v>17</v>
      </c>
      <c r="E652" s="41" t="s">
        <v>25</v>
      </c>
      <c r="F652" s="41">
        <v>29</v>
      </c>
      <c r="G652" s="42">
        <v>1721.15</v>
      </c>
      <c r="H652" s="40" t="s">
        <v>19</v>
      </c>
      <c r="I652" s="100"/>
      <c r="J652" s="12">
        <v>1</v>
      </c>
      <c r="K652" s="12">
        <f>59.21</f>
        <v>59.21</v>
      </c>
      <c r="L652" s="74">
        <f>G652-K652</f>
        <v>1661.94</v>
      </c>
    </row>
    <row r="653" spans="1:12" ht="30" customHeight="1">
      <c r="A653" s="37">
        <v>409</v>
      </c>
      <c r="B653" s="94" t="s">
        <v>257</v>
      </c>
      <c r="C653" s="40" t="s">
        <v>33</v>
      </c>
      <c r="D653" s="40" t="s">
        <v>17</v>
      </c>
      <c r="E653" s="41" t="s">
        <v>193</v>
      </c>
      <c r="F653" s="41">
        <v>90</v>
      </c>
      <c r="G653" s="42">
        <v>10800</v>
      </c>
      <c r="H653" s="40" t="s">
        <v>19</v>
      </c>
      <c r="I653" s="100"/>
      <c r="L653" s="74"/>
    </row>
    <row r="654" spans="1:12" ht="30" customHeight="1">
      <c r="A654" s="32">
        <v>410</v>
      </c>
      <c r="B654" s="232" t="s">
        <v>423</v>
      </c>
      <c r="C654" s="40" t="s">
        <v>183</v>
      </c>
      <c r="D654" s="40" t="s">
        <v>17</v>
      </c>
      <c r="E654" s="41" t="s">
        <v>285</v>
      </c>
      <c r="F654" s="41">
        <v>75</v>
      </c>
      <c r="G654" s="42">
        <v>6618.75</v>
      </c>
      <c r="H654" s="40" t="s">
        <v>19</v>
      </c>
      <c r="I654" s="100"/>
      <c r="L654" s="74"/>
    </row>
    <row r="655" spans="1:12" ht="30" customHeight="1">
      <c r="A655" s="37">
        <v>411</v>
      </c>
      <c r="B655" s="94" t="s">
        <v>424</v>
      </c>
      <c r="C655" s="40" t="s">
        <v>44</v>
      </c>
      <c r="D655" s="40" t="s">
        <v>17</v>
      </c>
      <c r="E655" s="41" t="s">
        <v>25</v>
      </c>
      <c r="F655" s="41">
        <v>1</v>
      </c>
      <c r="G655" s="42">
        <v>1570</v>
      </c>
      <c r="H655" s="40" t="s">
        <v>19</v>
      </c>
      <c r="I655" s="100"/>
      <c r="L655" s="74"/>
    </row>
    <row r="656" spans="1:12" ht="30" customHeight="1">
      <c r="A656" s="32">
        <v>412</v>
      </c>
      <c r="B656" s="94" t="s">
        <v>425</v>
      </c>
      <c r="C656" s="40" t="s">
        <v>24</v>
      </c>
      <c r="D656" s="40" t="s">
        <v>17</v>
      </c>
      <c r="E656" s="41" t="s">
        <v>25</v>
      </c>
      <c r="F656" s="41">
        <v>5</v>
      </c>
      <c r="G656" s="42">
        <v>1000</v>
      </c>
      <c r="H656" s="40" t="s">
        <v>19</v>
      </c>
      <c r="I656" s="100"/>
      <c r="L656" s="74"/>
    </row>
    <row r="657" spans="1:12" ht="30" customHeight="1">
      <c r="A657" s="37">
        <v>413</v>
      </c>
      <c r="B657" s="94" t="s">
        <v>426</v>
      </c>
      <c r="C657" s="40" t="s">
        <v>44</v>
      </c>
      <c r="D657" s="40" t="s">
        <v>17</v>
      </c>
      <c r="E657" s="41" t="s">
        <v>25</v>
      </c>
      <c r="F657" s="41">
        <v>1</v>
      </c>
      <c r="G657" s="42">
        <v>1301.02</v>
      </c>
      <c r="H657" s="40" t="s">
        <v>19</v>
      </c>
      <c r="I657" s="100"/>
      <c r="L657" s="74"/>
    </row>
    <row r="658" spans="1:12" ht="30" customHeight="1">
      <c r="A658" s="32">
        <v>414</v>
      </c>
      <c r="B658" s="38" t="s">
        <v>57</v>
      </c>
      <c r="C658" s="40" t="s">
        <v>58</v>
      </c>
      <c r="D658" s="40" t="s">
        <v>17</v>
      </c>
      <c r="E658" s="41" t="s">
        <v>25</v>
      </c>
      <c r="F658" s="41">
        <v>1</v>
      </c>
      <c r="G658" s="42">
        <v>2500.2</v>
      </c>
      <c r="H658" s="155" t="s">
        <v>19</v>
      </c>
      <c r="I658" s="100"/>
      <c r="L658" s="74"/>
    </row>
    <row r="659" spans="1:12" ht="30" customHeight="1">
      <c r="A659" s="37">
        <v>415</v>
      </c>
      <c r="B659" s="94" t="s">
        <v>427</v>
      </c>
      <c r="C659" s="40" t="s">
        <v>428</v>
      </c>
      <c r="D659" s="40" t="s">
        <v>17</v>
      </c>
      <c r="E659" s="41" t="s">
        <v>25</v>
      </c>
      <c r="F659" s="41">
        <v>1</v>
      </c>
      <c r="G659" s="42">
        <v>5000</v>
      </c>
      <c r="H659" s="40" t="s">
        <v>19</v>
      </c>
      <c r="I659" s="100"/>
      <c r="L659" s="74"/>
    </row>
    <row r="660" spans="1:14" ht="32.25" customHeight="1" hidden="1">
      <c r="A660" s="37"/>
      <c r="B660" s="45" t="s">
        <v>59</v>
      </c>
      <c r="C660" s="46"/>
      <c r="D660" s="40"/>
      <c r="E660" s="41"/>
      <c r="F660" s="41"/>
      <c r="G660" s="42">
        <f>SUM(G647:G659)</f>
        <v>42179.99999999999</v>
      </c>
      <c r="H660" s="51"/>
      <c r="I660" s="100"/>
      <c r="K660" s="74">
        <f>SUM(K647:K659)</f>
        <v>59.21</v>
      </c>
      <c r="L660" s="74">
        <f>SUM(L647:L659)</f>
        <v>9581.94</v>
      </c>
      <c r="M660" s="12">
        <v>17353.2</v>
      </c>
      <c r="N660" s="74">
        <f>M660-K660</f>
        <v>17293.99</v>
      </c>
    </row>
    <row r="661" spans="1:14" ht="30" customHeight="1">
      <c r="A661" s="37">
        <v>416</v>
      </c>
      <c r="B661" s="40" t="s">
        <v>269</v>
      </c>
      <c r="C661" s="40" t="s">
        <v>270</v>
      </c>
      <c r="D661" s="40" t="s">
        <v>62</v>
      </c>
      <c r="E661" s="41" t="s">
        <v>34</v>
      </c>
      <c r="F661" s="69">
        <v>0.5</v>
      </c>
      <c r="G661" s="42">
        <v>187.2</v>
      </c>
      <c r="H661" s="40" t="s">
        <v>63</v>
      </c>
      <c r="I661" s="100"/>
      <c r="K661" s="74"/>
      <c r="L661" s="74"/>
      <c r="N661" s="74"/>
    </row>
    <row r="662" spans="1:14" ht="30" customHeight="1">
      <c r="A662" s="37">
        <v>417</v>
      </c>
      <c r="B662" s="38" t="s">
        <v>216</v>
      </c>
      <c r="C662" s="40" t="s">
        <v>217</v>
      </c>
      <c r="D662" s="40" t="s">
        <v>62</v>
      </c>
      <c r="E662" s="41" t="s">
        <v>34</v>
      </c>
      <c r="F662" s="69">
        <v>17</v>
      </c>
      <c r="G662" s="42">
        <v>329.3</v>
      </c>
      <c r="H662" s="40" t="s">
        <v>63</v>
      </c>
      <c r="I662" s="100"/>
      <c r="K662" s="74"/>
      <c r="L662" s="74"/>
      <c r="N662" s="74"/>
    </row>
    <row r="663" spans="1:14" ht="30" customHeight="1">
      <c r="A663" s="37">
        <v>418</v>
      </c>
      <c r="B663" s="38" t="s">
        <v>64</v>
      </c>
      <c r="C663" s="40" t="s">
        <v>65</v>
      </c>
      <c r="D663" s="40" t="s">
        <v>62</v>
      </c>
      <c r="E663" s="41" t="s">
        <v>34</v>
      </c>
      <c r="F663" s="69">
        <v>400</v>
      </c>
      <c r="G663" s="42">
        <v>6860</v>
      </c>
      <c r="H663" s="40" t="s">
        <v>63</v>
      </c>
      <c r="I663" s="100"/>
      <c r="K663" s="74"/>
      <c r="L663" s="74"/>
      <c r="N663" s="74"/>
    </row>
    <row r="664" spans="1:14" ht="30" customHeight="1">
      <c r="A664" s="37">
        <v>419</v>
      </c>
      <c r="B664" s="71" t="s">
        <v>429</v>
      </c>
      <c r="C664" s="40" t="s">
        <v>219</v>
      </c>
      <c r="D664" s="40" t="s">
        <v>62</v>
      </c>
      <c r="E664" s="41" t="s">
        <v>34</v>
      </c>
      <c r="F664" s="69">
        <v>3</v>
      </c>
      <c r="G664" s="42">
        <v>68.8</v>
      </c>
      <c r="H664" s="40" t="s">
        <v>63</v>
      </c>
      <c r="I664" s="100"/>
      <c r="K664" s="74"/>
      <c r="L664" s="74"/>
      <c r="N664" s="74"/>
    </row>
    <row r="665" spans="1:14" ht="30" customHeight="1">
      <c r="A665" s="37">
        <v>420</v>
      </c>
      <c r="B665" s="38" t="s">
        <v>71</v>
      </c>
      <c r="C665" s="71" t="s">
        <v>72</v>
      </c>
      <c r="D665" s="40" t="s">
        <v>62</v>
      </c>
      <c r="E665" s="41" t="s">
        <v>34</v>
      </c>
      <c r="F665" s="69">
        <v>57</v>
      </c>
      <c r="G665" s="42">
        <v>901</v>
      </c>
      <c r="H665" s="40" t="s">
        <v>63</v>
      </c>
      <c r="I665" s="100"/>
      <c r="K665" s="74"/>
      <c r="L665" s="74"/>
      <c r="N665" s="74"/>
    </row>
    <row r="666" spans="1:14" ht="45" customHeight="1">
      <c r="A666" s="37">
        <v>421</v>
      </c>
      <c r="B666" s="38" t="s">
        <v>73</v>
      </c>
      <c r="C666" s="40" t="s">
        <v>74</v>
      </c>
      <c r="D666" s="40" t="s">
        <v>62</v>
      </c>
      <c r="E666" s="41" t="s">
        <v>34</v>
      </c>
      <c r="F666" s="69">
        <v>17</v>
      </c>
      <c r="G666" s="42">
        <v>400.8</v>
      </c>
      <c r="H666" s="40" t="s">
        <v>63</v>
      </c>
      <c r="I666" s="100"/>
      <c r="K666" s="74"/>
      <c r="L666" s="74"/>
      <c r="N666" s="74"/>
    </row>
    <row r="667" spans="1:14" ht="30" customHeight="1">
      <c r="A667" s="37">
        <v>422</v>
      </c>
      <c r="B667" s="38" t="s">
        <v>75</v>
      </c>
      <c r="C667" s="71" t="s">
        <v>76</v>
      </c>
      <c r="D667" s="40" t="s">
        <v>62</v>
      </c>
      <c r="E667" s="41" t="s">
        <v>77</v>
      </c>
      <c r="F667" s="69">
        <v>20</v>
      </c>
      <c r="G667" s="42">
        <v>1489</v>
      </c>
      <c r="H667" s="40" t="s">
        <v>63</v>
      </c>
      <c r="I667" s="100"/>
      <c r="K667" s="74"/>
      <c r="L667" s="74"/>
      <c r="N667" s="74"/>
    </row>
    <row r="668" spans="1:14" ht="30" customHeight="1">
      <c r="A668" s="37">
        <v>423</v>
      </c>
      <c r="B668" s="38" t="s">
        <v>78</v>
      </c>
      <c r="C668" s="40" t="s">
        <v>79</v>
      </c>
      <c r="D668" s="40" t="s">
        <v>62</v>
      </c>
      <c r="E668" s="41" t="s">
        <v>34</v>
      </c>
      <c r="F668" s="69">
        <v>25</v>
      </c>
      <c r="G668" s="42">
        <v>7694.5</v>
      </c>
      <c r="H668" s="40" t="s">
        <v>63</v>
      </c>
      <c r="I668" s="100"/>
      <c r="K668" s="74"/>
      <c r="L668" s="74"/>
      <c r="N668" s="74"/>
    </row>
    <row r="669" spans="1:14" ht="45" customHeight="1">
      <c r="A669" s="37">
        <v>424</v>
      </c>
      <c r="B669" s="38" t="s">
        <v>80</v>
      </c>
      <c r="C669" s="40" t="s">
        <v>81</v>
      </c>
      <c r="D669" s="40" t="s">
        <v>62</v>
      </c>
      <c r="E669" s="41" t="s">
        <v>82</v>
      </c>
      <c r="F669" s="69">
        <v>34.2</v>
      </c>
      <c r="G669" s="42">
        <v>1389.96</v>
      </c>
      <c r="H669" s="40" t="s">
        <v>63</v>
      </c>
      <c r="I669" s="100"/>
      <c r="K669" s="74"/>
      <c r="L669" s="74"/>
      <c r="N669" s="74"/>
    </row>
    <row r="670" spans="1:14" ht="30" customHeight="1">
      <c r="A670" s="37">
        <v>425</v>
      </c>
      <c r="B670" s="38" t="s">
        <v>83</v>
      </c>
      <c r="C670" s="40" t="s">
        <v>72</v>
      </c>
      <c r="D670" s="40" t="s">
        <v>62</v>
      </c>
      <c r="E670" s="41" t="s">
        <v>34</v>
      </c>
      <c r="F670" s="69">
        <v>67</v>
      </c>
      <c r="G670" s="42">
        <v>1716.9</v>
      </c>
      <c r="H670" s="40" t="s">
        <v>63</v>
      </c>
      <c r="I670" s="100"/>
      <c r="K670" s="74"/>
      <c r="L670" s="74"/>
      <c r="N670" s="74"/>
    </row>
    <row r="671" spans="1:14" ht="30" customHeight="1">
      <c r="A671" s="37">
        <v>426</v>
      </c>
      <c r="B671" s="38" t="s">
        <v>665</v>
      </c>
      <c r="C671" s="40" t="s">
        <v>666</v>
      </c>
      <c r="D671" s="40" t="s">
        <v>62</v>
      </c>
      <c r="E671" s="41" t="s">
        <v>34</v>
      </c>
      <c r="F671" s="69">
        <v>40</v>
      </c>
      <c r="G671" s="42">
        <v>5612.64</v>
      </c>
      <c r="H671" s="40" t="s">
        <v>63</v>
      </c>
      <c r="I671" s="100"/>
      <c r="K671" s="74"/>
      <c r="L671" s="74"/>
      <c r="N671" s="74"/>
    </row>
    <row r="672" spans="1:14" ht="30" customHeight="1">
      <c r="A672" s="37">
        <v>427</v>
      </c>
      <c r="B672" s="38" t="s">
        <v>88</v>
      </c>
      <c r="C672" s="40" t="s">
        <v>85</v>
      </c>
      <c r="D672" s="40" t="s">
        <v>62</v>
      </c>
      <c r="E672" s="41" t="s">
        <v>34</v>
      </c>
      <c r="F672" s="69">
        <v>35</v>
      </c>
      <c r="G672" s="42">
        <v>4348</v>
      </c>
      <c r="H672" s="40" t="s">
        <v>63</v>
      </c>
      <c r="I672" s="100"/>
      <c r="K672" s="74"/>
      <c r="L672" s="74"/>
      <c r="N672" s="74"/>
    </row>
    <row r="673" spans="1:14" ht="30" customHeight="1">
      <c r="A673" s="37">
        <v>428</v>
      </c>
      <c r="B673" s="38" t="s">
        <v>89</v>
      </c>
      <c r="C673" s="40" t="s">
        <v>90</v>
      </c>
      <c r="D673" s="40" t="s">
        <v>62</v>
      </c>
      <c r="E673" s="41" t="s">
        <v>34</v>
      </c>
      <c r="F673" s="69">
        <v>25</v>
      </c>
      <c r="G673" s="42">
        <v>1239.5</v>
      </c>
      <c r="H673" s="40" t="s">
        <v>63</v>
      </c>
      <c r="I673" s="100"/>
      <c r="K673" s="74"/>
      <c r="L673" s="74"/>
      <c r="N673" s="74"/>
    </row>
    <row r="674" spans="1:14" ht="30" customHeight="1">
      <c r="A674" s="37">
        <v>429</v>
      </c>
      <c r="B674" s="38" t="s">
        <v>91</v>
      </c>
      <c r="C674" s="40" t="s">
        <v>92</v>
      </c>
      <c r="D674" s="40" t="s">
        <v>62</v>
      </c>
      <c r="E674" s="41" t="s">
        <v>34</v>
      </c>
      <c r="F674" s="69">
        <v>65</v>
      </c>
      <c r="G674" s="42">
        <v>10866</v>
      </c>
      <c r="H674" s="40" t="s">
        <v>63</v>
      </c>
      <c r="I674" s="100"/>
      <c r="K674" s="74"/>
      <c r="L674" s="74"/>
      <c r="N674" s="74"/>
    </row>
    <row r="675" spans="1:14" ht="30" customHeight="1">
      <c r="A675" s="37">
        <v>430</v>
      </c>
      <c r="B675" s="38" t="s">
        <v>274</v>
      </c>
      <c r="C675" s="40" t="s">
        <v>275</v>
      </c>
      <c r="D675" s="40" t="s">
        <v>62</v>
      </c>
      <c r="E675" s="41" t="s">
        <v>34</v>
      </c>
      <c r="F675" s="69">
        <v>100</v>
      </c>
      <c r="G675" s="42">
        <v>3750</v>
      </c>
      <c r="H675" s="40" t="s">
        <v>63</v>
      </c>
      <c r="I675" s="100"/>
      <c r="K675" s="74"/>
      <c r="L675" s="74"/>
      <c r="N675" s="74"/>
    </row>
    <row r="676" spans="1:14" ht="30" customHeight="1">
      <c r="A676" s="37">
        <v>431</v>
      </c>
      <c r="B676" s="38" t="s">
        <v>222</v>
      </c>
      <c r="C676" s="40" t="s">
        <v>223</v>
      </c>
      <c r="D676" s="40" t="s">
        <v>62</v>
      </c>
      <c r="E676" s="41" t="s">
        <v>34</v>
      </c>
      <c r="F676" s="69">
        <v>32</v>
      </c>
      <c r="G676" s="42">
        <v>622.4</v>
      </c>
      <c r="H676" s="40" t="s">
        <v>63</v>
      </c>
      <c r="I676" s="100"/>
      <c r="K676" s="74"/>
      <c r="L676" s="74"/>
      <c r="N676" s="74"/>
    </row>
    <row r="677" spans="1:14" ht="30" customHeight="1">
      <c r="A677" s="37">
        <v>432</v>
      </c>
      <c r="B677" s="38" t="s">
        <v>93</v>
      </c>
      <c r="C677" s="40" t="s">
        <v>94</v>
      </c>
      <c r="D677" s="40" t="s">
        <v>62</v>
      </c>
      <c r="E677" s="41" t="s">
        <v>34</v>
      </c>
      <c r="F677" s="69">
        <v>26.6</v>
      </c>
      <c r="G677" s="42">
        <v>3455.91</v>
      </c>
      <c r="H677" s="40" t="s">
        <v>63</v>
      </c>
      <c r="I677" s="100"/>
      <c r="K677" s="74"/>
      <c r="L677" s="74"/>
      <c r="N677" s="74"/>
    </row>
    <row r="678" spans="1:14" ht="30" customHeight="1">
      <c r="A678" s="37">
        <v>433</v>
      </c>
      <c r="B678" s="38" t="s">
        <v>224</v>
      </c>
      <c r="C678" s="40" t="s">
        <v>225</v>
      </c>
      <c r="D678" s="40" t="s">
        <v>62</v>
      </c>
      <c r="E678" s="41" t="s">
        <v>34</v>
      </c>
      <c r="F678" s="69">
        <v>8</v>
      </c>
      <c r="G678" s="42">
        <v>100.7</v>
      </c>
      <c r="H678" s="40" t="s">
        <v>63</v>
      </c>
      <c r="I678" s="100"/>
      <c r="K678" s="74"/>
      <c r="L678" s="74"/>
      <c r="N678" s="74"/>
    </row>
    <row r="679" spans="1:14" ht="30" customHeight="1">
      <c r="A679" s="37">
        <v>434</v>
      </c>
      <c r="B679" s="40" t="s">
        <v>226</v>
      </c>
      <c r="C679" s="40" t="s">
        <v>227</v>
      </c>
      <c r="D679" s="40" t="s">
        <v>62</v>
      </c>
      <c r="E679" s="41" t="s">
        <v>34</v>
      </c>
      <c r="F679" s="69">
        <v>10</v>
      </c>
      <c r="G679" s="42">
        <v>1360.38</v>
      </c>
      <c r="H679" s="40" t="s">
        <v>63</v>
      </c>
      <c r="I679" s="100"/>
      <c r="K679" s="74"/>
      <c r="L679" s="74"/>
      <c r="N679" s="74"/>
    </row>
    <row r="680" spans="1:14" ht="45" customHeight="1">
      <c r="A680" s="37">
        <v>435</v>
      </c>
      <c r="B680" s="38" t="s">
        <v>60</v>
      </c>
      <c r="C680" s="40" t="s">
        <v>61</v>
      </c>
      <c r="D680" s="40" t="s">
        <v>62</v>
      </c>
      <c r="E680" s="41" t="s">
        <v>34</v>
      </c>
      <c r="F680" s="69">
        <v>6</v>
      </c>
      <c r="G680" s="42">
        <v>216.6</v>
      </c>
      <c r="H680" s="40" t="s">
        <v>63</v>
      </c>
      <c r="I680" s="100"/>
      <c r="K680" s="74"/>
      <c r="L680" s="74"/>
      <c r="N680" s="74"/>
    </row>
    <row r="681" spans="1:14" ht="30" customHeight="1">
      <c r="A681" s="37">
        <v>436</v>
      </c>
      <c r="B681" s="40" t="s">
        <v>95</v>
      </c>
      <c r="C681" s="40" t="s">
        <v>96</v>
      </c>
      <c r="D681" s="40" t="s">
        <v>62</v>
      </c>
      <c r="E681" s="41" t="s">
        <v>34</v>
      </c>
      <c r="F681" s="69">
        <v>40</v>
      </c>
      <c r="G681" s="42">
        <v>7950</v>
      </c>
      <c r="H681" s="40" t="s">
        <v>63</v>
      </c>
      <c r="I681" s="100"/>
      <c r="K681" s="74"/>
      <c r="L681" s="74"/>
      <c r="N681" s="74"/>
    </row>
    <row r="682" spans="1:14" ht="30" customHeight="1">
      <c r="A682" s="37">
        <v>437</v>
      </c>
      <c r="B682" s="40" t="s">
        <v>667</v>
      </c>
      <c r="C682" s="40" t="s">
        <v>668</v>
      </c>
      <c r="D682" s="40" t="s">
        <v>62</v>
      </c>
      <c r="E682" s="41" t="s">
        <v>34</v>
      </c>
      <c r="F682" s="69">
        <f>100</f>
        <v>100</v>
      </c>
      <c r="G682" s="42">
        <v>21524.5</v>
      </c>
      <c r="H682" s="40" t="s">
        <v>63</v>
      </c>
      <c r="I682" s="100"/>
      <c r="K682" s="74"/>
      <c r="L682" s="74"/>
      <c r="N682" s="74"/>
    </row>
    <row r="683" spans="1:14" ht="45" customHeight="1">
      <c r="A683" s="37">
        <v>438</v>
      </c>
      <c r="B683" s="54" t="s">
        <v>98</v>
      </c>
      <c r="C683" s="40" t="s">
        <v>61</v>
      </c>
      <c r="D683" s="40" t="s">
        <v>62</v>
      </c>
      <c r="E683" s="41" t="s">
        <v>25</v>
      </c>
      <c r="F683" s="69">
        <v>435</v>
      </c>
      <c r="G683" s="42">
        <v>5552.31</v>
      </c>
      <c r="H683" s="40" t="s">
        <v>63</v>
      </c>
      <c r="I683" s="100"/>
      <c r="K683" s="74"/>
      <c r="L683" s="74"/>
      <c r="N683" s="74"/>
    </row>
    <row r="684" spans="1:14" ht="30" customHeight="1">
      <c r="A684" s="37">
        <v>439</v>
      </c>
      <c r="B684" s="40" t="s">
        <v>99</v>
      </c>
      <c r="C684" s="40" t="s">
        <v>100</v>
      </c>
      <c r="D684" s="40" t="s">
        <v>62</v>
      </c>
      <c r="E684" s="41" t="s">
        <v>34</v>
      </c>
      <c r="F684" s="69">
        <v>30</v>
      </c>
      <c r="G684" s="42">
        <v>9116</v>
      </c>
      <c r="H684" s="40" t="s">
        <v>63</v>
      </c>
      <c r="I684" s="100"/>
      <c r="K684" s="74"/>
      <c r="L684" s="74"/>
      <c r="N684" s="74"/>
    </row>
    <row r="685" spans="1:14" ht="30" customHeight="1">
      <c r="A685" s="37">
        <v>440</v>
      </c>
      <c r="B685" s="40" t="s">
        <v>101</v>
      </c>
      <c r="C685" s="40" t="s">
        <v>102</v>
      </c>
      <c r="D685" s="40" t="s">
        <v>62</v>
      </c>
      <c r="E685" s="41" t="s">
        <v>34</v>
      </c>
      <c r="F685" s="69">
        <v>3</v>
      </c>
      <c r="G685" s="42">
        <v>1785</v>
      </c>
      <c r="H685" s="40" t="s">
        <v>63</v>
      </c>
      <c r="I685" s="100"/>
      <c r="K685" s="74"/>
      <c r="L685" s="74"/>
      <c r="N685" s="74"/>
    </row>
    <row r="686" spans="1:14" ht="30" customHeight="1">
      <c r="A686" s="37">
        <v>441</v>
      </c>
      <c r="B686" s="40" t="s">
        <v>228</v>
      </c>
      <c r="C686" s="40" t="s">
        <v>229</v>
      </c>
      <c r="D686" s="40" t="s">
        <v>62</v>
      </c>
      <c r="E686" s="41" t="s">
        <v>34</v>
      </c>
      <c r="F686" s="69">
        <v>40</v>
      </c>
      <c r="G686" s="42">
        <v>1722</v>
      </c>
      <c r="H686" s="40" t="s">
        <v>63</v>
      </c>
      <c r="I686" s="100"/>
      <c r="K686" s="74"/>
      <c r="L686" s="74"/>
      <c r="N686" s="74"/>
    </row>
    <row r="687" spans="1:14" ht="30" customHeight="1">
      <c r="A687" s="37">
        <v>442</v>
      </c>
      <c r="B687" s="40" t="s">
        <v>103</v>
      </c>
      <c r="C687" s="40" t="s">
        <v>104</v>
      </c>
      <c r="D687" s="40" t="s">
        <v>62</v>
      </c>
      <c r="E687" s="41" t="s">
        <v>25</v>
      </c>
      <c r="F687" s="69">
        <v>1200</v>
      </c>
      <c r="G687" s="42">
        <v>5568</v>
      </c>
      <c r="H687" s="40" t="s">
        <v>63</v>
      </c>
      <c r="I687" s="100"/>
      <c r="K687" s="74"/>
      <c r="L687" s="74"/>
      <c r="N687" s="74"/>
    </row>
    <row r="688" spans="1:14" ht="30" customHeight="1">
      <c r="A688" s="37">
        <v>443</v>
      </c>
      <c r="B688" s="40" t="s">
        <v>430</v>
      </c>
      <c r="C688" s="40" t="s">
        <v>231</v>
      </c>
      <c r="D688" s="40" t="s">
        <v>62</v>
      </c>
      <c r="E688" s="41" t="s">
        <v>77</v>
      </c>
      <c r="F688" s="69">
        <v>10</v>
      </c>
      <c r="G688" s="42">
        <v>593.5</v>
      </c>
      <c r="H688" s="40" t="s">
        <v>63</v>
      </c>
      <c r="I688" s="100"/>
      <c r="K688" s="74"/>
      <c r="L688" s="74"/>
      <c r="N688" s="74"/>
    </row>
    <row r="689" spans="1:14" ht="30" customHeight="1">
      <c r="A689" s="37">
        <v>444</v>
      </c>
      <c r="B689" s="38" t="s">
        <v>105</v>
      </c>
      <c r="C689" s="40" t="s">
        <v>70</v>
      </c>
      <c r="D689" s="40" t="s">
        <v>62</v>
      </c>
      <c r="E689" s="41" t="s">
        <v>34</v>
      </c>
      <c r="F689" s="69">
        <v>30</v>
      </c>
      <c r="G689" s="42">
        <v>997</v>
      </c>
      <c r="H689" s="40" t="s">
        <v>63</v>
      </c>
      <c r="I689" s="100"/>
      <c r="K689" s="74"/>
      <c r="L689" s="74"/>
      <c r="N689" s="74"/>
    </row>
    <row r="690" spans="1:14" ht="30" customHeight="1">
      <c r="A690" s="37">
        <v>445</v>
      </c>
      <c r="B690" s="38" t="s">
        <v>268</v>
      </c>
      <c r="C690" s="40" t="s">
        <v>70</v>
      </c>
      <c r="D690" s="40" t="s">
        <v>62</v>
      </c>
      <c r="E690" s="41" t="s">
        <v>34</v>
      </c>
      <c r="F690" s="69">
        <v>5</v>
      </c>
      <c r="G690" s="42">
        <v>102.1</v>
      </c>
      <c r="H690" s="40" t="s">
        <v>63</v>
      </c>
      <c r="I690" s="100"/>
      <c r="K690" s="74"/>
      <c r="L690" s="74"/>
      <c r="N690" s="74"/>
    </row>
    <row r="691" spans="1:14" ht="32.25" customHeight="1" hidden="1">
      <c r="A691" s="37">
        <v>459</v>
      </c>
      <c r="B691" s="45"/>
      <c r="C691" s="204" t="s">
        <v>106</v>
      </c>
      <c r="D691" s="179"/>
      <c r="E691" s="41"/>
      <c r="F691" s="50"/>
      <c r="G691" s="42">
        <f>SUM(G661:G690)</f>
        <v>107520</v>
      </c>
      <c r="H691" s="51"/>
      <c r="I691" s="100"/>
      <c r="K691" s="74"/>
      <c r="L691" s="74"/>
      <c r="N691" s="74"/>
    </row>
    <row r="692" spans="1:12" ht="30" customHeight="1">
      <c r="A692" s="37">
        <v>446</v>
      </c>
      <c r="B692" s="38" t="s">
        <v>235</v>
      </c>
      <c r="C692" s="40" t="s">
        <v>116</v>
      </c>
      <c r="D692" s="40" t="s">
        <v>109</v>
      </c>
      <c r="E692" s="41" t="s">
        <v>113</v>
      </c>
      <c r="F692" s="50" t="s">
        <v>117</v>
      </c>
      <c r="G692" s="42">
        <v>1200</v>
      </c>
      <c r="H692" s="40" t="s">
        <v>63</v>
      </c>
      <c r="I692" s="100"/>
      <c r="K692" s="12">
        <f>154</f>
        <v>154</v>
      </c>
      <c r="L692" s="74">
        <f aca="true" t="shared" si="10" ref="L692:L704">G692-K692</f>
        <v>1046</v>
      </c>
    </row>
    <row r="693" spans="1:12" ht="30" customHeight="1">
      <c r="A693" s="37">
        <v>447</v>
      </c>
      <c r="B693" s="38" t="s">
        <v>431</v>
      </c>
      <c r="C693" s="40" t="s">
        <v>108</v>
      </c>
      <c r="D693" s="40" t="s">
        <v>109</v>
      </c>
      <c r="E693" s="41" t="s">
        <v>110</v>
      </c>
      <c r="F693" s="50">
        <v>6</v>
      </c>
      <c r="G693" s="42">
        <v>566.4</v>
      </c>
      <c r="H693" s="40" t="s">
        <v>63</v>
      </c>
      <c r="I693" s="100"/>
      <c r="L693" s="74"/>
    </row>
    <row r="694" spans="1:12" ht="30" customHeight="1">
      <c r="A694" s="37">
        <v>448</v>
      </c>
      <c r="B694" s="98" t="s">
        <v>296</v>
      </c>
      <c r="C694" s="99" t="s">
        <v>326</v>
      </c>
      <c r="D694" s="40" t="s">
        <v>109</v>
      </c>
      <c r="E694" s="41" t="s">
        <v>113</v>
      </c>
      <c r="F694" s="41" t="s">
        <v>117</v>
      </c>
      <c r="G694" s="42">
        <v>1413</v>
      </c>
      <c r="H694" s="40" t="s">
        <v>63</v>
      </c>
      <c r="I694" s="100"/>
      <c r="K694" s="12">
        <f>470.96</f>
        <v>470.96</v>
      </c>
      <c r="L694" s="74">
        <f t="shared" si="10"/>
        <v>942.04</v>
      </c>
    </row>
    <row r="695" spans="1:12" ht="30" customHeight="1">
      <c r="A695" s="37">
        <v>449</v>
      </c>
      <c r="B695" s="98" t="s">
        <v>295</v>
      </c>
      <c r="C695" s="99" t="s">
        <v>112</v>
      </c>
      <c r="D695" s="40" t="s">
        <v>109</v>
      </c>
      <c r="E695" s="41" t="s">
        <v>113</v>
      </c>
      <c r="F695" s="41" t="s">
        <v>432</v>
      </c>
      <c r="G695" s="42">
        <v>3600</v>
      </c>
      <c r="H695" s="40" t="s">
        <v>63</v>
      </c>
      <c r="I695" s="100"/>
      <c r="K695" s="12">
        <f>800</f>
        <v>800</v>
      </c>
      <c r="L695" s="74">
        <f t="shared" si="10"/>
        <v>2800</v>
      </c>
    </row>
    <row r="696" spans="1:12" ht="30" customHeight="1">
      <c r="A696" s="37">
        <v>450</v>
      </c>
      <c r="B696" s="38" t="s">
        <v>433</v>
      </c>
      <c r="C696" s="40" t="s">
        <v>234</v>
      </c>
      <c r="D696" s="40" t="s">
        <v>109</v>
      </c>
      <c r="E696" s="41" t="s">
        <v>113</v>
      </c>
      <c r="F696" s="50" t="s">
        <v>117</v>
      </c>
      <c r="G696" s="42">
        <v>3780</v>
      </c>
      <c r="H696" s="40" t="s">
        <v>63</v>
      </c>
      <c r="I696" s="100"/>
      <c r="L696" s="74">
        <f t="shared" si="10"/>
        <v>3780</v>
      </c>
    </row>
    <row r="697" spans="1:12" ht="30" customHeight="1">
      <c r="A697" s="37">
        <v>451</v>
      </c>
      <c r="B697" s="232" t="s">
        <v>284</v>
      </c>
      <c r="C697" s="40" t="s">
        <v>239</v>
      </c>
      <c r="D697" s="40" t="s">
        <v>109</v>
      </c>
      <c r="E697" s="41" t="s">
        <v>285</v>
      </c>
      <c r="F697" s="233">
        <v>110</v>
      </c>
      <c r="G697" s="42">
        <v>296</v>
      </c>
      <c r="H697" s="40" t="s">
        <v>19</v>
      </c>
      <c r="I697" s="100"/>
      <c r="L697" s="74">
        <f t="shared" si="10"/>
        <v>296</v>
      </c>
    </row>
    <row r="698" spans="1:12" ht="30" customHeight="1">
      <c r="A698" s="37">
        <v>452</v>
      </c>
      <c r="B698" s="232" t="s">
        <v>401</v>
      </c>
      <c r="C698" s="40" t="s">
        <v>239</v>
      </c>
      <c r="D698" s="40" t="s">
        <v>109</v>
      </c>
      <c r="E698" s="41" t="s">
        <v>285</v>
      </c>
      <c r="F698" s="233">
        <v>994</v>
      </c>
      <c r="G698" s="42">
        <v>2564.52</v>
      </c>
      <c r="H698" s="40" t="s">
        <v>19</v>
      </c>
      <c r="I698" s="100"/>
      <c r="L698" s="74">
        <f t="shared" si="10"/>
        <v>2564.52</v>
      </c>
    </row>
    <row r="699" spans="1:12" ht="30" customHeight="1">
      <c r="A699" s="37">
        <v>453</v>
      </c>
      <c r="B699" s="94" t="s">
        <v>434</v>
      </c>
      <c r="C699" s="40" t="s">
        <v>131</v>
      </c>
      <c r="D699" s="40" t="s">
        <v>109</v>
      </c>
      <c r="E699" s="41" t="s">
        <v>25</v>
      </c>
      <c r="F699" s="50">
        <v>3</v>
      </c>
      <c r="G699" s="42">
        <v>840</v>
      </c>
      <c r="H699" s="40" t="s">
        <v>132</v>
      </c>
      <c r="I699" s="100"/>
      <c r="L699" s="74">
        <f t="shared" si="10"/>
        <v>840</v>
      </c>
    </row>
    <row r="700" spans="1:12" ht="30" customHeight="1">
      <c r="A700" s="37">
        <v>454</v>
      </c>
      <c r="B700" s="232" t="s">
        <v>435</v>
      </c>
      <c r="C700" s="52" t="s">
        <v>242</v>
      </c>
      <c r="D700" s="40" t="s">
        <v>109</v>
      </c>
      <c r="E700" s="41" t="s">
        <v>25</v>
      </c>
      <c r="F700" s="41">
        <v>6</v>
      </c>
      <c r="G700" s="42">
        <v>1257.6</v>
      </c>
      <c r="H700" s="40" t="s">
        <v>132</v>
      </c>
      <c r="I700" s="100"/>
      <c r="L700" s="74">
        <f t="shared" si="10"/>
        <v>1257.6</v>
      </c>
    </row>
    <row r="701" spans="1:12" ht="45" customHeight="1">
      <c r="A701" s="37">
        <v>455</v>
      </c>
      <c r="B701" s="234" t="s">
        <v>436</v>
      </c>
      <c r="C701" s="52" t="s">
        <v>242</v>
      </c>
      <c r="D701" s="40" t="s">
        <v>109</v>
      </c>
      <c r="E701" s="41" t="s">
        <v>25</v>
      </c>
      <c r="F701" s="41">
        <v>3</v>
      </c>
      <c r="G701" s="42">
        <v>487.5</v>
      </c>
      <c r="H701" s="40" t="s">
        <v>132</v>
      </c>
      <c r="I701" s="100"/>
      <c r="L701" s="74">
        <f t="shared" si="10"/>
        <v>487.5</v>
      </c>
    </row>
    <row r="702" spans="1:12" ht="45" customHeight="1">
      <c r="A702" s="37">
        <v>456</v>
      </c>
      <c r="B702" s="234" t="s">
        <v>437</v>
      </c>
      <c r="C702" s="52" t="s">
        <v>242</v>
      </c>
      <c r="D702" s="40" t="s">
        <v>109</v>
      </c>
      <c r="E702" s="41" t="s">
        <v>25</v>
      </c>
      <c r="F702" s="41">
        <v>2</v>
      </c>
      <c r="G702" s="42">
        <v>384.478</v>
      </c>
      <c r="H702" s="40" t="s">
        <v>132</v>
      </c>
      <c r="I702" s="100"/>
      <c r="L702" s="74">
        <f t="shared" si="10"/>
        <v>384.478</v>
      </c>
    </row>
    <row r="703" spans="1:12" ht="30" customHeight="1">
      <c r="A703" s="37">
        <v>457</v>
      </c>
      <c r="B703" s="232" t="s">
        <v>438</v>
      </c>
      <c r="C703" s="52" t="s">
        <v>242</v>
      </c>
      <c r="D703" s="40" t="s">
        <v>109</v>
      </c>
      <c r="E703" s="41" t="s">
        <v>25</v>
      </c>
      <c r="F703" s="41">
        <v>3</v>
      </c>
      <c r="G703" s="42">
        <v>550.35</v>
      </c>
      <c r="H703" s="40" t="s">
        <v>132</v>
      </c>
      <c r="I703" s="100"/>
      <c r="L703" s="74">
        <f t="shared" si="10"/>
        <v>550.35</v>
      </c>
    </row>
    <row r="704" spans="1:12" ht="45" customHeight="1">
      <c r="A704" s="37">
        <v>458</v>
      </c>
      <c r="B704" s="38" t="s">
        <v>236</v>
      </c>
      <c r="C704" s="40" t="s">
        <v>119</v>
      </c>
      <c r="D704" s="40" t="s">
        <v>109</v>
      </c>
      <c r="E704" s="41" t="s">
        <v>120</v>
      </c>
      <c r="F704" s="41" t="s">
        <v>121</v>
      </c>
      <c r="G704" s="42">
        <v>4908.15</v>
      </c>
      <c r="H704" s="40" t="s">
        <v>63</v>
      </c>
      <c r="I704" s="100"/>
      <c r="K704" s="12">
        <v>1260</v>
      </c>
      <c r="L704" s="74">
        <f t="shared" si="10"/>
        <v>3648.1499999999996</v>
      </c>
    </row>
    <row r="705" spans="1:12" ht="23.25" customHeight="1" hidden="1">
      <c r="A705" s="37">
        <v>472</v>
      </c>
      <c r="B705" s="45" t="s">
        <v>136</v>
      </c>
      <c r="C705" s="46"/>
      <c r="D705" s="40"/>
      <c r="E705" s="41"/>
      <c r="F705" s="41"/>
      <c r="G705" s="42">
        <f>SUM(G692:G704)</f>
        <v>21847.998</v>
      </c>
      <c r="H705" s="51"/>
      <c r="I705" s="100"/>
      <c r="K705" s="74">
        <f>SUM(K692:K704)</f>
        <v>2684.96</v>
      </c>
      <c r="L705" s="74" t="e">
        <f>SUM(#REF!)</f>
        <v>#REF!</v>
      </c>
    </row>
    <row r="706" spans="1:11" ht="30" customHeight="1">
      <c r="A706" s="37">
        <v>459</v>
      </c>
      <c r="B706" s="38" t="s">
        <v>137</v>
      </c>
      <c r="C706" s="52" t="s">
        <v>138</v>
      </c>
      <c r="D706" s="40" t="s">
        <v>139</v>
      </c>
      <c r="E706" s="41" t="s">
        <v>140</v>
      </c>
      <c r="F706" s="53">
        <f>G706/2878.55</f>
        <v>241.88567160549582</v>
      </c>
      <c r="G706" s="42">
        <v>696280</v>
      </c>
      <c r="H706" s="40" t="s">
        <v>63</v>
      </c>
      <c r="I706" s="100"/>
      <c r="K706" s="12">
        <f>287710</f>
        <v>287710</v>
      </c>
    </row>
    <row r="707" spans="1:9" ht="21" customHeight="1" hidden="1">
      <c r="A707" s="37">
        <v>474</v>
      </c>
      <c r="B707" s="45" t="s">
        <v>141</v>
      </c>
      <c r="C707" s="46"/>
      <c r="D707" s="40"/>
      <c r="E707" s="41"/>
      <c r="F707" s="41"/>
      <c r="G707" s="42">
        <f>SUM(G706:G706)</f>
        <v>696280</v>
      </c>
      <c r="H707" s="51"/>
      <c r="I707" s="100"/>
    </row>
    <row r="708" spans="1:13" ht="30" customHeight="1">
      <c r="A708" s="37">
        <v>460</v>
      </c>
      <c r="B708" s="38" t="s">
        <v>142</v>
      </c>
      <c r="C708" s="54" t="s">
        <v>143</v>
      </c>
      <c r="D708" s="40" t="s">
        <v>144</v>
      </c>
      <c r="E708" s="41" t="s">
        <v>145</v>
      </c>
      <c r="F708" s="56">
        <f>G708/4.143</f>
        <v>10967.41491672701</v>
      </c>
      <c r="G708" s="42">
        <v>45438</v>
      </c>
      <c r="H708" s="40" t="s">
        <v>63</v>
      </c>
      <c r="I708" s="100"/>
      <c r="K708" s="12">
        <f>11737.12+6432.15</f>
        <v>18169.27</v>
      </c>
      <c r="L708" s="240">
        <f>F708-J708</f>
        <v>10967.41491672701</v>
      </c>
      <c r="M708" s="74">
        <f>G708-K708</f>
        <v>27268.73</v>
      </c>
    </row>
    <row r="709" spans="1:9" ht="21" customHeight="1" hidden="1">
      <c r="A709" s="37"/>
      <c r="B709" s="45" t="s">
        <v>146</v>
      </c>
      <c r="C709" s="46"/>
      <c r="D709" s="40"/>
      <c r="E709" s="41"/>
      <c r="F709" s="41"/>
      <c r="G709" s="42">
        <f>G708</f>
        <v>45438</v>
      </c>
      <c r="H709" s="51"/>
      <c r="I709" s="100"/>
    </row>
    <row r="710" spans="1:9" ht="21" customHeight="1" hidden="1">
      <c r="A710" s="19"/>
      <c r="B710" s="167"/>
      <c r="C710" s="167"/>
      <c r="D710" s="168"/>
      <c r="E710" s="207"/>
      <c r="F710" s="207"/>
      <c r="G710" s="110"/>
      <c r="H710" s="8"/>
      <c r="I710" s="223"/>
    </row>
    <row r="711" spans="1:9" ht="21" customHeight="1" hidden="1">
      <c r="A711" s="19"/>
      <c r="B711" s="208" t="s">
        <v>151</v>
      </c>
      <c r="C711" s="167"/>
      <c r="D711" s="168"/>
      <c r="E711" s="207"/>
      <c r="F711" s="207"/>
      <c r="G711" s="110"/>
      <c r="H711" s="8"/>
      <c r="I711" s="223"/>
    </row>
    <row r="712" spans="1:9" ht="21" customHeight="1" hidden="1">
      <c r="A712" s="19"/>
      <c r="B712" s="167" t="s">
        <v>693</v>
      </c>
      <c r="C712" s="167"/>
      <c r="D712" s="225" t="s">
        <v>153</v>
      </c>
      <c r="E712" s="226"/>
      <c r="F712" s="207"/>
      <c r="G712" s="110"/>
      <c r="H712" s="8"/>
      <c r="I712" s="223"/>
    </row>
    <row r="713" spans="1:9" ht="21" customHeight="1" hidden="1">
      <c r="A713" s="19"/>
      <c r="B713" s="167"/>
      <c r="C713" s="167"/>
      <c r="D713" s="227" t="s">
        <v>694</v>
      </c>
      <c r="E713" s="228" t="s">
        <v>692</v>
      </c>
      <c r="F713" s="207"/>
      <c r="G713" s="110"/>
      <c r="H713" s="8"/>
      <c r="I713" s="223"/>
    </row>
    <row r="714" spans="1:9" ht="21" customHeight="1" hidden="1">
      <c r="A714" s="19"/>
      <c r="B714" s="167" t="s">
        <v>156</v>
      </c>
      <c r="C714" s="167"/>
      <c r="D714" s="225" t="s">
        <v>157</v>
      </c>
      <c r="E714" s="226"/>
      <c r="F714" s="207"/>
      <c r="G714" s="110"/>
      <c r="H714" s="8"/>
      <c r="I714" s="223"/>
    </row>
    <row r="715" spans="1:9" ht="21" customHeight="1" hidden="1">
      <c r="A715" s="19"/>
      <c r="B715" s="167"/>
      <c r="C715" s="167"/>
      <c r="D715" s="168"/>
      <c r="E715" s="207"/>
      <c r="F715" s="207"/>
      <c r="G715" s="110"/>
      <c r="H715" s="8"/>
      <c r="I715" s="223"/>
    </row>
    <row r="716" spans="1:9" ht="21" customHeight="1" hidden="1">
      <c r="A716" s="19"/>
      <c r="B716" s="167" t="s">
        <v>695</v>
      </c>
      <c r="C716" s="167"/>
      <c r="D716" s="168"/>
      <c r="E716" s="207"/>
      <c r="F716" s="207"/>
      <c r="G716" s="110"/>
      <c r="H716" s="8"/>
      <c r="I716" s="223"/>
    </row>
    <row r="717" spans="1:9" ht="29.25" customHeight="1" hidden="1">
      <c r="A717" s="19"/>
      <c r="B717" s="229" t="s">
        <v>159</v>
      </c>
      <c r="C717" s="167"/>
      <c r="D717" s="225" t="s">
        <v>160</v>
      </c>
      <c r="E717" s="226"/>
      <c r="F717" s="207"/>
      <c r="G717" s="110"/>
      <c r="H717" s="8"/>
      <c r="I717" s="223"/>
    </row>
    <row r="718" spans="1:9" ht="21" customHeight="1" hidden="1">
      <c r="A718" s="19"/>
      <c r="B718" s="230" t="s">
        <v>161</v>
      </c>
      <c r="C718" s="167"/>
      <c r="D718" s="168"/>
      <c r="E718" s="207"/>
      <c r="F718" s="207"/>
      <c r="G718" s="110"/>
      <c r="H718" s="8"/>
      <c r="I718" s="223"/>
    </row>
    <row r="719" spans="1:9" ht="21" customHeight="1" hidden="1">
      <c r="A719" s="19"/>
      <c r="B719" s="167"/>
      <c r="C719" s="167"/>
      <c r="D719" s="168"/>
      <c r="E719" s="207"/>
      <c r="F719" s="207"/>
      <c r="G719" s="110"/>
      <c r="H719" s="8"/>
      <c r="I719" s="223"/>
    </row>
    <row r="720" spans="1:9" ht="21" customHeight="1" hidden="1">
      <c r="A720" s="19"/>
      <c r="B720" s="167"/>
      <c r="C720" s="167"/>
      <c r="D720" s="168"/>
      <c r="E720" s="207"/>
      <c r="F720" s="207"/>
      <c r="G720" s="110"/>
      <c r="H720" s="8"/>
      <c r="I720" s="223"/>
    </row>
    <row r="721" spans="1:9" ht="21" customHeight="1" hidden="1">
      <c r="A721" s="19"/>
      <c r="B721" s="19"/>
      <c r="C721" s="190"/>
      <c r="D721" s="187"/>
      <c r="E721" s="187"/>
      <c r="F721" s="209" t="s">
        <v>1</v>
      </c>
      <c r="G721" s="209"/>
      <c r="H721" s="8"/>
      <c r="I721" s="223"/>
    </row>
    <row r="722" spans="1:9" ht="44.25" customHeight="1" hidden="1">
      <c r="A722" s="19"/>
      <c r="B722" s="190" t="s">
        <v>687</v>
      </c>
      <c r="C722" s="8"/>
      <c r="D722" s="187"/>
      <c r="E722" s="187"/>
      <c r="F722" s="209"/>
      <c r="G722" s="209"/>
      <c r="H722" s="8"/>
      <c r="I722" s="223"/>
    </row>
    <row r="723" spans="1:9" ht="21" customHeight="1" hidden="1">
      <c r="A723" s="19"/>
      <c r="B723" s="167"/>
      <c r="C723" s="167"/>
      <c r="D723" s="168"/>
      <c r="E723" s="207"/>
      <c r="F723" s="207"/>
      <c r="G723" s="110"/>
      <c r="H723" s="8"/>
      <c r="I723" s="223"/>
    </row>
    <row r="724" spans="1:9" ht="21" customHeight="1" hidden="1">
      <c r="A724" s="191" t="s">
        <v>407</v>
      </c>
      <c r="B724" s="191"/>
      <c r="C724" s="191"/>
      <c r="D724" s="191"/>
      <c r="E724" s="191"/>
      <c r="F724" s="191"/>
      <c r="G724" s="191"/>
      <c r="H724" s="191"/>
      <c r="I724" s="191"/>
    </row>
    <row r="725" spans="1:9" ht="21" customHeight="1" hidden="1">
      <c r="A725" s="191"/>
      <c r="B725" s="191"/>
      <c r="C725" s="191"/>
      <c r="D725" s="191"/>
      <c r="E725" s="191"/>
      <c r="F725" s="191"/>
      <c r="G725" s="191"/>
      <c r="H725" s="191"/>
      <c r="I725" s="191"/>
    </row>
    <row r="726" spans="1:9" s="7" customFormat="1" ht="29.25" customHeight="1">
      <c r="A726" s="35" t="s">
        <v>676</v>
      </c>
      <c r="B726" s="173"/>
      <c r="C726" s="173"/>
      <c r="D726" s="173"/>
      <c r="E726" s="173"/>
      <c r="F726" s="173"/>
      <c r="G726" s="173"/>
      <c r="H726" s="173"/>
      <c r="I726" s="173"/>
    </row>
    <row r="727" spans="3:9" ht="12" customHeight="1" hidden="1">
      <c r="C727" s="124"/>
      <c r="D727" s="125" t="s">
        <v>4</v>
      </c>
      <c r="E727" s="124"/>
      <c r="F727" s="124"/>
      <c r="H727" s="16"/>
      <c r="I727" s="16"/>
    </row>
    <row r="728" spans="5:6" ht="15.75" customHeight="1" hidden="1">
      <c r="E728" s="3"/>
      <c r="F728" s="3"/>
    </row>
    <row r="729" spans="1:11" ht="15.75" customHeight="1" hidden="1">
      <c r="A729" s="26" t="s">
        <v>5</v>
      </c>
      <c r="B729" s="27" t="s">
        <v>6</v>
      </c>
      <c r="C729" s="28" t="s">
        <v>7</v>
      </c>
      <c r="D729" s="28" t="s">
        <v>249</v>
      </c>
      <c r="E729" s="28" t="s">
        <v>9</v>
      </c>
      <c r="F729" s="28" t="s">
        <v>10</v>
      </c>
      <c r="G729" s="128" t="s">
        <v>250</v>
      </c>
      <c r="H729" s="28" t="s">
        <v>251</v>
      </c>
      <c r="I729" s="28" t="s">
        <v>13</v>
      </c>
      <c r="J729" s="71"/>
      <c r="K729" s="71"/>
    </row>
    <row r="730" spans="1:9" ht="31.5" customHeight="1" hidden="1">
      <c r="A730" s="29"/>
      <c r="B730" s="30"/>
      <c r="C730" s="31"/>
      <c r="D730" s="31"/>
      <c r="E730" s="31"/>
      <c r="F730" s="31"/>
      <c r="G730" s="129"/>
      <c r="H730" s="31"/>
      <c r="I730" s="31"/>
    </row>
    <row r="731" spans="1:9" ht="45" customHeight="1" hidden="1">
      <c r="A731" s="32"/>
      <c r="B731" s="33"/>
      <c r="C731" s="34"/>
      <c r="D731" s="34"/>
      <c r="E731" s="34"/>
      <c r="F731" s="34"/>
      <c r="G731" s="130"/>
      <c r="H731" s="34"/>
      <c r="I731" s="34"/>
    </row>
    <row r="732" spans="1:14" ht="20.25" customHeight="1" hidden="1">
      <c r="A732" s="32">
        <v>1</v>
      </c>
      <c r="B732" s="33">
        <v>2</v>
      </c>
      <c r="C732" s="34">
        <v>3</v>
      </c>
      <c r="D732" s="34">
        <v>4</v>
      </c>
      <c r="E732" s="34">
        <v>5</v>
      </c>
      <c r="F732" s="34">
        <v>6</v>
      </c>
      <c r="G732" s="130">
        <v>7</v>
      </c>
      <c r="H732" s="34">
        <v>8</v>
      </c>
      <c r="I732" s="72">
        <v>9</v>
      </c>
      <c r="N732" s="12" t="s">
        <v>14</v>
      </c>
    </row>
    <row r="733" spans="1:15" s="6" customFormat="1" ht="30" customHeight="1">
      <c r="A733" s="37">
        <v>461</v>
      </c>
      <c r="B733" s="160" t="s">
        <v>15</v>
      </c>
      <c r="C733" s="39" t="s">
        <v>16</v>
      </c>
      <c r="D733" s="133" t="s">
        <v>17</v>
      </c>
      <c r="E733" s="41" t="s">
        <v>18</v>
      </c>
      <c r="F733" s="41">
        <v>10</v>
      </c>
      <c r="G733" s="42">
        <v>2100</v>
      </c>
      <c r="H733" s="155" t="s">
        <v>19</v>
      </c>
      <c r="I733" s="73" t="s">
        <v>253</v>
      </c>
      <c r="L733" s="166">
        <f>G733-K733</f>
        <v>2100</v>
      </c>
      <c r="N733" s="6">
        <v>3</v>
      </c>
      <c r="O733" s="6">
        <v>780</v>
      </c>
    </row>
    <row r="734" spans="1:12" s="6" customFormat="1" ht="30" customHeight="1">
      <c r="A734" s="37">
        <v>462</v>
      </c>
      <c r="B734" s="160" t="s">
        <v>23</v>
      </c>
      <c r="C734" s="133" t="s">
        <v>24</v>
      </c>
      <c r="D734" s="133" t="s">
        <v>17</v>
      </c>
      <c r="E734" s="41" t="s">
        <v>22</v>
      </c>
      <c r="F734" s="41">
        <v>1</v>
      </c>
      <c r="G734" s="42">
        <v>170</v>
      </c>
      <c r="H734" s="155" t="s">
        <v>19</v>
      </c>
      <c r="I734" s="100"/>
      <c r="L734" s="166"/>
    </row>
    <row r="735" spans="1:12" s="6" customFormat="1" ht="30" customHeight="1">
      <c r="A735" s="37">
        <v>463</v>
      </c>
      <c r="B735" s="160" t="s">
        <v>408</v>
      </c>
      <c r="C735" s="136" t="s">
        <v>409</v>
      </c>
      <c r="D735" s="133" t="s">
        <v>17</v>
      </c>
      <c r="E735" s="41" t="s">
        <v>25</v>
      </c>
      <c r="F735" s="41">
        <v>2</v>
      </c>
      <c r="G735" s="42">
        <v>172</v>
      </c>
      <c r="H735" s="155" t="s">
        <v>19</v>
      </c>
      <c r="I735" s="100"/>
      <c r="L735" s="166"/>
    </row>
    <row r="736" spans="1:12" s="6" customFormat="1" ht="30" customHeight="1">
      <c r="A736" s="37">
        <v>464</v>
      </c>
      <c r="B736" s="160" t="s">
        <v>410</v>
      </c>
      <c r="C736" s="43" t="s">
        <v>52</v>
      </c>
      <c r="D736" s="133" t="s">
        <v>17</v>
      </c>
      <c r="E736" s="41" t="s">
        <v>25</v>
      </c>
      <c r="F736" s="41">
        <v>11</v>
      </c>
      <c r="G736" s="42">
        <v>217.8</v>
      </c>
      <c r="H736" s="155" t="s">
        <v>19</v>
      </c>
      <c r="I736" s="100"/>
      <c r="L736" s="166"/>
    </row>
    <row r="737" spans="1:12" ht="30" customHeight="1">
      <c r="A737" s="37">
        <v>465</v>
      </c>
      <c r="B737" s="38" t="s">
        <v>57</v>
      </c>
      <c r="C737" s="40" t="s">
        <v>58</v>
      </c>
      <c r="D737" s="40" t="s">
        <v>17</v>
      </c>
      <c r="E737" s="41" t="s">
        <v>25</v>
      </c>
      <c r="F737" s="41">
        <v>1</v>
      </c>
      <c r="G737" s="42">
        <v>2500.2</v>
      </c>
      <c r="H737" s="155" t="s">
        <v>19</v>
      </c>
      <c r="I737" s="100"/>
      <c r="L737" s="74"/>
    </row>
    <row r="738" spans="1:11" ht="26.25" customHeight="1" hidden="1">
      <c r="A738" s="37"/>
      <c r="B738" s="45" t="s">
        <v>59</v>
      </c>
      <c r="C738" s="46"/>
      <c r="D738" s="40"/>
      <c r="E738" s="41"/>
      <c r="F738" s="41"/>
      <c r="G738" s="42">
        <f>SUM(G733:G737)</f>
        <v>5160</v>
      </c>
      <c r="H738" s="51"/>
      <c r="I738" s="100"/>
      <c r="K738" s="12">
        <f>SUM(K733:K737)</f>
        <v>0</v>
      </c>
    </row>
    <row r="739" spans="1:9" ht="30" customHeight="1">
      <c r="A739" s="37">
        <v>466</v>
      </c>
      <c r="B739" s="38" t="s">
        <v>64</v>
      </c>
      <c r="C739" s="40" t="s">
        <v>65</v>
      </c>
      <c r="D739" s="40" t="s">
        <v>62</v>
      </c>
      <c r="E739" s="41" t="s">
        <v>34</v>
      </c>
      <c r="F739" s="69">
        <f>25+49</f>
        <v>74</v>
      </c>
      <c r="G739" s="42">
        <v>1260.7</v>
      </c>
      <c r="H739" s="133" t="s">
        <v>63</v>
      </c>
      <c r="I739" s="100"/>
    </row>
    <row r="740" spans="1:9" ht="30" customHeight="1">
      <c r="A740" s="37">
        <v>467</v>
      </c>
      <c r="B740" s="38" t="s">
        <v>71</v>
      </c>
      <c r="C740" s="71" t="s">
        <v>72</v>
      </c>
      <c r="D740" s="40" t="s">
        <v>62</v>
      </c>
      <c r="E740" s="41" t="s">
        <v>34</v>
      </c>
      <c r="F740" s="69">
        <v>3</v>
      </c>
      <c r="G740" s="42">
        <v>47.6</v>
      </c>
      <c r="H740" s="133" t="s">
        <v>63</v>
      </c>
      <c r="I740" s="100"/>
    </row>
    <row r="741" spans="1:9" ht="45" customHeight="1">
      <c r="A741" s="37">
        <v>468</v>
      </c>
      <c r="B741" s="38" t="s">
        <v>73</v>
      </c>
      <c r="C741" s="40" t="s">
        <v>74</v>
      </c>
      <c r="D741" s="40" t="s">
        <v>62</v>
      </c>
      <c r="E741" s="41" t="s">
        <v>34</v>
      </c>
      <c r="F741" s="69">
        <v>6</v>
      </c>
      <c r="G741" s="42">
        <v>140.8</v>
      </c>
      <c r="H741" s="133" t="s">
        <v>63</v>
      </c>
      <c r="I741" s="100"/>
    </row>
    <row r="742" spans="1:9" ht="30" customHeight="1">
      <c r="A742" s="37">
        <v>469</v>
      </c>
      <c r="B742" s="38" t="s">
        <v>78</v>
      </c>
      <c r="C742" s="40" t="s">
        <v>79</v>
      </c>
      <c r="D742" s="40" t="s">
        <v>62</v>
      </c>
      <c r="E742" s="41" t="s">
        <v>34</v>
      </c>
      <c r="F742" s="69">
        <v>2</v>
      </c>
      <c r="G742" s="42">
        <v>615.5</v>
      </c>
      <c r="H742" s="133" t="s">
        <v>63</v>
      </c>
      <c r="I742" s="100"/>
    </row>
    <row r="743" spans="1:9" ht="30" customHeight="1">
      <c r="A743" s="37">
        <v>470</v>
      </c>
      <c r="B743" s="38" t="s">
        <v>83</v>
      </c>
      <c r="C743" s="40" t="s">
        <v>72</v>
      </c>
      <c r="D743" s="40" t="s">
        <v>62</v>
      </c>
      <c r="E743" s="41" t="s">
        <v>34</v>
      </c>
      <c r="F743" s="69">
        <v>3</v>
      </c>
      <c r="G743" s="42">
        <v>77.9</v>
      </c>
      <c r="H743" s="133" t="s">
        <v>63</v>
      </c>
      <c r="I743" s="100"/>
    </row>
    <row r="744" spans="1:9" ht="45">
      <c r="A744" s="37">
        <v>471</v>
      </c>
      <c r="B744" s="38" t="s">
        <v>84</v>
      </c>
      <c r="C744" s="40" t="s">
        <v>85</v>
      </c>
      <c r="D744" s="40" t="s">
        <v>62</v>
      </c>
      <c r="E744" s="41" t="s">
        <v>34</v>
      </c>
      <c r="F744" s="69">
        <v>3.9</v>
      </c>
      <c r="G744" s="42">
        <v>455.13</v>
      </c>
      <c r="H744" s="133" t="s">
        <v>63</v>
      </c>
      <c r="I744" s="100"/>
    </row>
    <row r="745" spans="1:9" ht="30" customHeight="1">
      <c r="A745" s="37">
        <v>472</v>
      </c>
      <c r="B745" s="38" t="s">
        <v>665</v>
      </c>
      <c r="C745" s="40" t="s">
        <v>666</v>
      </c>
      <c r="D745" s="40" t="s">
        <v>62</v>
      </c>
      <c r="E745" s="41" t="s">
        <v>34</v>
      </c>
      <c r="F745" s="69">
        <v>9</v>
      </c>
      <c r="G745" s="42">
        <v>1230.36</v>
      </c>
      <c r="H745" s="133" t="s">
        <v>63</v>
      </c>
      <c r="I745" s="100"/>
    </row>
    <row r="746" spans="1:9" ht="30" customHeight="1">
      <c r="A746" s="37">
        <v>473</v>
      </c>
      <c r="B746" s="38" t="s">
        <v>88</v>
      </c>
      <c r="C746" s="40" t="s">
        <v>85</v>
      </c>
      <c r="D746" s="40" t="s">
        <v>62</v>
      </c>
      <c r="E746" s="41" t="s">
        <v>34</v>
      </c>
      <c r="F746" s="69">
        <v>4</v>
      </c>
      <c r="G746" s="42">
        <v>497.1</v>
      </c>
      <c r="H746" s="133" t="s">
        <v>63</v>
      </c>
      <c r="I746" s="100"/>
    </row>
    <row r="747" spans="1:9" ht="30" customHeight="1">
      <c r="A747" s="37">
        <v>474</v>
      </c>
      <c r="B747" s="38" t="s">
        <v>89</v>
      </c>
      <c r="C747" s="40" t="s">
        <v>90</v>
      </c>
      <c r="D747" s="40" t="s">
        <v>62</v>
      </c>
      <c r="E747" s="41" t="s">
        <v>34</v>
      </c>
      <c r="F747" s="69">
        <v>6</v>
      </c>
      <c r="G747" s="42">
        <v>297.4</v>
      </c>
      <c r="H747" s="133" t="s">
        <v>63</v>
      </c>
      <c r="I747" s="100"/>
    </row>
    <row r="748" spans="1:9" ht="30" customHeight="1">
      <c r="A748" s="37">
        <v>475</v>
      </c>
      <c r="B748" s="38" t="s">
        <v>91</v>
      </c>
      <c r="C748" s="40" t="s">
        <v>92</v>
      </c>
      <c r="D748" s="40" t="s">
        <v>62</v>
      </c>
      <c r="E748" s="41" t="s">
        <v>34</v>
      </c>
      <c r="F748" s="69">
        <v>8</v>
      </c>
      <c r="G748" s="42">
        <v>1337.3</v>
      </c>
      <c r="H748" s="133" t="s">
        <v>63</v>
      </c>
      <c r="I748" s="100"/>
    </row>
    <row r="749" spans="1:9" ht="30" customHeight="1">
      <c r="A749" s="37">
        <v>476</v>
      </c>
      <c r="B749" s="38" t="s">
        <v>274</v>
      </c>
      <c r="C749" s="40" t="s">
        <v>275</v>
      </c>
      <c r="D749" s="40" t="s">
        <v>62</v>
      </c>
      <c r="E749" s="41" t="s">
        <v>34</v>
      </c>
      <c r="F749" s="69">
        <v>4</v>
      </c>
      <c r="G749" s="42">
        <v>144</v>
      </c>
      <c r="H749" s="133" t="s">
        <v>63</v>
      </c>
      <c r="I749" s="100"/>
    </row>
    <row r="750" spans="1:9" ht="30" customHeight="1">
      <c r="A750" s="37">
        <v>477</v>
      </c>
      <c r="B750" s="38" t="s">
        <v>93</v>
      </c>
      <c r="C750" s="40" t="s">
        <v>94</v>
      </c>
      <c r="D750" s="40" t="s">
        <v>62</v>
      </c>
      <c r="E750" s="41" t="s">
        <v>34</v>
      </c>
      <c r="F750" s="69">
        <f>0.38+2.28</f>
        <v>2.6599999999999997</v>
      </c>
      <c r="G750" s="42">
        <v>345.38</v>
      </c>
      <c r="H750" s="133" t="s">
        <v>63</v>
      </c>
      <c r="I750" s="100"/>
    </row>
    <row r="751" spans="1:9" ht="30" customHeight="1">
      <c r="A751" s="37">
        <v>478</v>
      </c>
      <c r="B751" s="40" t="s">
        <v>95</v>
      </c>
      <c r="C751" s="40" t="s">
        <v>96</v>
      </c>
      <c r="D751" s="40" t="s">
        <v>62</v>
      </c>
      <c r="E751" s="41" t="s">
        <v>34</v>
      </c>
      <c r="F751" s="69">
        <v>15</v>
      </c>
      <c r="G751" s="42">
        <v>3045.5</v>
      </c>
      <c r="H751" s="133" t="s">
        <v>63</v>
      </c>
      <c r="I751" s="100"/>
    </row>
    <row r="752" spans="1:9" ht="30" customHeight="1">
      <c r="A752" s="37">
        <v>479</v>
      </c>
      <c r="B752" s="40" t="s">
        <v>667</v>
      </c>
      <c r="C752" s="40" t="s">
        <v>668</v>
      </c>
      <c r="D752" s="40" t="s">
        <v>62</v>
      </c>
      <c r="E752" s="41" t="s">
        <v>34</v>
      </c>
      <c r="F752" s="69">
        <v>12</v>
      </c>
      <c r="G752" s="42">
        <v>2619</v>
      </c>
      <c r="H752" s="133" t="s">
        <v>63</v>
      </c>
      <c r="I752" s="100"/>
    </row>
    <row r="753" spans="1:9" ht="45" customHeight="1">
      <c r="A753" s="37">
        <v>480</v>
      </c>
      <c r="B753" s="54" t="s">
        <v>98</v>
      </c>
      <c r="C753" s="40" t="s">
        <v>61</v>
      </c>
      <c r="D753" s="40" t="s">
        <v>62</v>
      </c>
      <c r="E753" s="41" t="s">
        <v>25</v>
      </c>
      <c r="F753" s="69">
        <v>59</v>
      </c>
      <c r="G753" s="42">
        <v>748.23</v>
      </c>
      <c r="H753" s="133" t="s">
        <v>63</v>
      </c>
      <c r="I753" s="100"/>
    </row>
    <row r="754" spans="1:9" ht="30" customHeight="1">
      <c r="A754" s="37">
        <v>481</v>
      </c>
      <c r="B754" s="40" t="s">
        <v>99</v>
      </c>
      <c r="C754" s="40" t="s">
        <v>100</v>
      </c>
      <c r="D754" s="40" t="s">
        <v>62</v>
      </c>
      <c r="E754" s="41" t="s">
        <v>34</v>
      </c>
      <c r="F754" s="69">
        <v>5</v>
      </c>
      <c r="G754" s="42">
        <v>1509.52</v>
      </c>
      <c r="H754" s="133" t="s">
        <v>63</v>
      </c>
      <c r="I754" s="100"/>
    </row>
    <row r="755" spans="1:9" ht="30" customHeight="1">
      <c r="A755" s="37">
        <v>482</v>
      </c>
      <c r="B755" s="40" t="s">
        <v>101</v>
      </c>
      <c r="C755" s="40" t="s">
        <v>102</v>
      </c>
      <c r="D755" s="40" t="s">
        <v>62</v>
      </c>
      <c r="E755" s="41" t="s">
        <v>34</v>
      </c>
      <c r="F755" s="69">
        <v>0.4</v>
      </c>
      <c r="G755" s="42">
        <v>238</v>
      </c>
      <c r="H755" s="133" t="s">
        <v>63</v>
      </c>
      <c r="I755" s="100"/>
    </row>
    <row r="756" spans="1:9" ht="30" customHeight="1">
      <c r="A756" s="37">
        <v>483</v>
      </c>
      <c r="B756" s="40" t="s">
        <v>228</v>
      </c>
      <c r="C756" s="40" t="s">
        <v>229</v>
      </c>
      <c r="D756" s="40" t="s">
        <v>62</v>
      </c>
      <c r="E756" s="41" t="s">
        <v>34</v>
      </c>
      <c r="F756" s="69">
        <v>10</v>
      </c>
      <c r="G756" s="42">
        <v>452</v>
      </c>
      <c r="H756" s="133" t="s">
        <v>63</v>
      </c>
      <c r="I756" s="100"/>
    </row>
    <row r="757" spans="1:9" ht="30" customHeight="1">
      <c r="A757" s="37">
        <v>484</v>
      </c>
      <c r="B757" s="40" t="s">
        <v>103</v>
      </c>
      <c r="C757" s="40" t="s">
        <v>104</v>
      </c>
      <c r="D757" s="40" t="s">
        <v>62</v>
      </c>
      <c r="E757" s="41" t="s">
        <v>25</v>
      </c>
      <c r="F757" s="69">
        <v>225</v>
      </c>
      <c r="G757" s="42">
        <v>1044</v>
      </c>
      <c r="H757" s="133" t="s">
        <v>63</v>
      </c>
      <c r="I757" s="100"/>
    </row>
    <row r="758" spans="1:9" ht="30" customHeight="1">
      <c r="A758" s="37">
        <v>485</v>
      </c>
      <c r="B758" s="38" t="s">
        <v>105</v>
      </c>
      <c r="C758" s="40" t="s">
        <v>70</v>
      </c>
      <c r="D758" s="40" t="s">
        <v>62</v>
      </c>
      <c r="E758" s="41" t="s">
        <v>34</v>
      </c>
      <c r="F758" s="69">
        <v>3</v>
      </c>
      <c r="G758" s="42">
        <v>99.7</v>
      </c>
      <c r="H758" s="133" t="s">
        <v>63</v>
      </c>
      <c r="I758" s="100"/>
    </row>
    <row r="759" spans="1:9" ht="45" customHeight="1">
      <c r="A759" s="37">
        <v>486</v>
      </c>
      <c r="B759" s="235" t="s">
        <v>60</v>
      </c>
      <c r="C759" s="236" t="s">
        <v>61</v>
      </c>
      <c r="D759" s="236" t="s">
        <v>62</v>
      </c>
      <c r="E759" s="83" t="s">
        <v>34</v>
      </c>
      <c r="F759" s="237">
        <v>0.8</v>
      </c>
      <c r="G759" s="42">
        <v>34.88</v>
      </c>
      <c r="H759" s="133" t="s">
        <v>63</v>
      </c>
      <c r="I759" s="100"/>
    </row>
    <row r="760" spans="1:9" ht="26.25" customHeight="1" hidden="1">
      <c r="A760" s="37"/>
      <c r="B760" s="45"/>
      <c r="C760" s="46"/>
      <c r="D760" s="238" t="s">
        <v>106</v>
      </c>
      <c r="E760" s="239"/>
      <c r="F760" s="41"/>
      <c r="G760" s="42">
        <f>SUM(G739:G759)</f>
        <v>16240</v>
      </c>
      <c r="H760" s="51"/>
      <c r="I760" s="100"/>
    </row>
    <row r="761" spans="1:12" s="6" customFormat="1" ht="30" customHeight="1">
      <c r="A761" s="37">
        <v>489</v>
      </c>
      <c r="B761" s="160" t="s">
        <v>111</v>
      </c>
      <c r="C761" s="133" t="s">
        <v>112</v>
      </c>
      <c r="D761" s="133" t="s">
        <v>109</v>
      </c>
      <c r="E761" s="41" t="s">
        <v>113</v>
      </c>
      <c r="F761" s="41" t="s">
        <v>411</v>
      </c>
      <c r="G761" s="42">
        <v>360</v>
      </c>
      <c r="H761" s="133" t="s">
        <v>63</v>
      </c>
      <c r="I761" s="100"/>
      <c r="K761" s="6">
        <v>100</v>
      </c>
      <c r="L761" s="166">
        <f>G761-K761</f>
        <v>260</v>
      </c>
    </row>
    <row r="762" spans="1:12" s="6" customFormat="1" ht="30" customHeight="1">
      <c r="A762" s="37">
        <v>490</v>
      </c>
      <c r="B762" s="160" t="s">
        <v>115</v>
      </c>
      <c r="C762" s="133" t="s">
        <v>116</v>
      </c>
      <c r="D762" s="133" t="s">
        <v>109</v>
      </c>
      <c r="E762" s="41" t="s">
        <v>113</v>
      </c>
      <c r="F762" s="50" t="s">
        <v>117</v>
      </c>
      <c r="G762" s="42">
        <v>492</v>
      </c>
      <c r="H762" s="133" t="s">
        <v>412</v>
      </c>
      <c r="I762" s="100"/>
      <c r="K762" s="6">
        <f>154</f>
        <v>154</v>
      </c>
      <c r="L762" s="166">
        <f>G762-K762</f>
        <v>338</v>
      </c>
    </row>
    <row r="763" spans="1:12" s="6" customFormat="1" ht="44.25" customHeight="1">
      <c r="A763" s="37">
        <v>491</v>
      </c>
      <c r="B763" s="160" t="s">
        <v>118</v>
      </c>
      <c r="C763" s="133" t="s">
        <v>119</v>
      </c>
      <c r="D763" s="133" t="s">
        <v>109</v>
      </c>
      <c r="E763" s="41" t="s">
        <v>120</v>
      </c>
      <c r="F763" s="41" t="s">
        <v>121</v>
      </c>
      <c r="G763" s="42">
        <v>1285.85</v>
      </c>
      <c r="H763" s="133" t="s">
        <v>63</v>
      </c>
      <c r="I763" s="100"/>
      <c r="K763" s="6">
        <f>615.68</f>
        <v>615.68</v>
      </c>
      <c r="L763" s="166">
        <f>G763-K763</f>
        <v>670.17</v>
      </c>
    </row>
    <row r="764" spans="1:12" s="6" customFormat="1" ht="29.25" customHeight="1">
      <c r="A764" s="37">
        <v>492</v>
      </c>
      <c r="B764" s="160" t="s">
        <v>124</v>
      </c>
      <c r="C764" s="161" t="s">
        <v>239</v>
      </c>
      <c r="D764" s="133" t="s">
        <v>109</v>
      </c>
      <c r="E764" s="41" t="s">
        <v>126</v>
      </c>
      <c r="F764" s="41">
        <v>30</v>
      </c>
      <c r="G764" s="42">
        <v>88.8</v>
      </c>
      <c r="H764" s="133" t="s">
        <v>19</v>
      </c>
      <c r="I764" s="100"/>
      <c r="L764" s="166">
        <f>G764-K764</f>
        <v>88.8</v>
      </c>
    </row>
    <row r="765" spans="1:12" s="6" customFormat="1" ht="29.25" customHeight="1">
      <c r="A765" s="37">
        <v>493</v>
      </c>
      <c r="B765" s="160" t="s">
        <v>127</v>
      </c>
      <c r="C765" s="161" t="s">
        <v>239</v>
      </c>
      <c r="D765" s="133" t="s">
        <v>109</v>
      </c>
      <c r="E765" s="41" t="s">
        <v>126</v>
      </c>
      <c r="F765" s="41">
        <v>772.9</v>
      </c>
      <c r="G765" s="42">
        <v>1994.08</v>
      </c>
      <c r="H765" s="133" t="s">
        <v>19</v>
      </c>
      <c r="I765" s="100"/>
      <c r="L765" s="166">
        <f>G765-K765</f>
        <v>1994.08</v>
      </c>
    </row>
    <row r="766" spans="1:12" ht="45" customHeight="1">
      <c r="A766" s="37">
        <v>494</v>
      </c>
      <c r="B766" s="38" t="s">
        <v>128</v>
      </c>
      <c r="C766" s="40" t="s">
        <v>129</v>
      </c>
      <c r="D766" s="40" t="s">
        <v>109</v>
      </c>
      <c r="E766" s="41" t="s">
        <v>25</v>
      </c>
      <c r="F766" s="41">
        <v>1</v>
      </c>
      <c r="G766" s="163">
        <v>56923</v>
      </c>
      <c r="H766" s="155" t="s">
        <v>63</v>
      </c>
      <c r="I766" s="100"/>
      <c r="L766" s="74"/>
    </row>
    <row r="767" spans="1:12" ht="45" customHeight="1">
      <c r="A767" s="37">
        <v>495</v>
      </c>
      <c r="B767" s="38" t="s">
        <v>413</v>
      </c>
      <c r="C767" s="88" t="s">
        <v>242</v>
      </c>
      <c r="D767" s="40" t="s">
        <v>109</v>
      </c>
      <c r="E767" s="41" t="s">
        <v>25</v>
      </c>
      <c r="F767" s="41">
        <v>3</v>
      </c>
      <c r="G767" s="163">
        <v>576.72</v>
      </c>
      <c r="H767" s="155" t="s">
        <v>132</v>
      </c>
      <c r="I767" s="100"/>
      <c r="L767" s="74"/>
    </row>
    <row r="768" spans="1:12" ht="45" customHeight="1">
      <c r="A768" s="37">
        <v>496</v>
      </c>
      <c r="B768" s="38" t="s">
        <v>414</v>
      </c>
      <c r="C768" s="88" t="s">
        <v>242</v>
      </c>
      <c r="D768" s="40" t="s">
        <v>109</v>
      </c>
      <c r="E768" s="41" t="s">
        <v>25</v>
      </c>
      <c r="F768" s="41">
        <v>6</v>
      </c>
      <c r="G768" s="163">
        <v>1257.6</v>
      </c>
      <c r="H768" s="155" t="s">
        <v>19</v>
      </c>
      <c r="I768" s="100"/>
      <c r="L768" s="74"/>
    </row>
    <row r="769" spans="1:12" ht="45" customHeight="1">
      <c r="A769" s="37">
        <v>497</v>
      </c>
      <c r="B769" s="38" t="s">
        <v>403</v>
      </c>
      <c r="C769" s="88" t="s">
        <v>242</v>
      </c>
      <c r="D769" s="40" t="s">
        <v>109</v>
      </c>
      <c r="E769" s="41" t="s">
        <v>25</v>
      </c>
      <c r="F769" s="41">
        <v>1</v>
      </c>
      <c r="G769" s="163">
        <v>162.5</v>
      </c>
      <c r="H769" s="155" t="s">
        <v>19</v>
      </c>
      <c r="I769" s="100"/>
      <c r="L769" s="74"/>
    </row>
    <row r="770" spans="1:12" ht="45" customHeight="1">
      <c r="A770" s="37">
        <v>498</v>
      </c>
      <c r="B770" s="38" t="s">
        <v>415</v>
      </c>
      <c r="C770" s="88" t="s">
        <v>242</v>
      </c>
      <c r="D770" s="40" t="s">
        <v>109</v>
      </c>
      <c r="E770" s="41" t="s">
        <v>25</v>
      </c>
      <c r="F770" s="41">
        <v>1</v>
      </c>
      <c r="G770" s="163">
        <v>183.45</v>
      </c>
      <c r="H770" s="155" t="s">
        <v>19</v>
      </c>
      <c r="I770" s="100"/>
      <c r="L770" s="74"/>
    </row>
    <row r="771" spans="1:12" ht="32.25" customHeight="1" hidden="1">
      <c r="A771" s="37">
        <v>512</v>
      </c>
      <c r="B771" s="45" t="s">
        <v>136</v>
      </c>
      <c r="C771" s="46"/>
      <c r="D771" s="40"/>
      <c r="E771" s="41"/>
      <c r="F771" s="41"/>
      <c r="G771" s="42">
        <f>SUM(G761:G770)</f>
        <v>63323.99999999999</v>
      </c>
      <c r="H771" s="51"/>
      <c r="I771" s="100"/>
      <c r="K771" s="12">
        <f>SUM(K761:K770)</f>
        <v>869.68</v>
      </c>
      <c r="L771" s="74">
        <f>G771-K771</f>
        <v>62454.31999999999</v>
      </c>
    </row>
    <row r="772" spans="1:11" ht="30" customHeight="1">
      <c r="A772" s="37">
        <v>499</v>
      </c>
      <c r="B772" s="38" t="s">
        <v>137</v>
      </c>
      <c r="C772" s="52" t="s">
        <v>138</v>
      </c>
      <c r="D772" s="40" t="s">
        <v>139</v>
      </c>
      <c r="E772" s="41" t="s">
        <v>140</v>
      </c>
      <c r="F772" s="53">
        <f>G772/2878.55</f>
        <v>50.23362456792482</v>
      </c>
      <c r="G772" s="42">
        <v>144600</v>
      </c>
      <c r="H772" s="155" t="s">
        <v>63</v>
      </c>
      <c r="I772" s="100"/>
      <c r="K772" s="12">
        <f>51025</f>
        <v>51025</v>
      </c>
    </row>
    <row r="773" spans="1:9" ht="30" customHeight="1" hidden="1">
      <c r="A773" s="37">
        <v>514</v>
      </c>
      <c r="B773" s="45" t="s">
        <v>141</v>
      </c>
      <c r="C773" s="46"/>
      <c r="D773" s="40"/>
      <c r="E773" s="41"/>
      <c r="F773" s="41"/>
      <c r="G773" s="42">
        <f>SUM(G772:G772)</f>
        <v>144600</v>
      </c>
      <c r="H773" s="51"/>
      <c r="I773" s="100"/>
    </row>
    <row r="774" spans="1:13" ht="30" customHeight="1">
      <c r="A774" s="37">
        <v>500</v>
      </c>
      <c r="B774" s="38" t="s">
        <v>142</v>
      </c>
      <c r="C774" s="54" t="s">
        <v>143</v>
      </c>
      <c r="D774" s="40" t="s">
        <v>144</v>
      </c>
      <c r="E774" s="41" t="s">
        <v>145</v>
      </c>
      <c r="F774" s="56">
        <f>G774/4.143</f>
        <v>1563.6012551291335</v>
      </c>
      <c r="G774" s="42">
        <v>6478</v>
      </c>
      <c r="H774" s="155" t="s">
        <v>63</v>
      </c>
      <c r="I774" s="100"/>
      <c r="K774" s="12">
        <f>2485.8+306.36</f>
        <v>2792.1600000000003</v>
      </c>
      <c r="L774" s="240">
        <f>F774-J774</f>
        <v>1563.6012551291335</v>
      </c>
      <c r="M774" s="74">
        <f>G774-K774</f>
        <v>3685.8399999999997</v>
      </c>
    </row>
    <row r="775" spans="1:9" ht="30" customHeight="1" hidden="1">
      <c r="A775" s="37">
        <v>516</v>
      </c>
      <c r="B775" s="45" t="s">
        <v>146</v>
      </c>
      <c r="C775" s="46"/>
      <c r="D775" s="40"/>
      <c r="E775" s="41"/>
      <c r="F775" s="41"/>
      <c r="G775" s="42">
        <f>G774</f>
        <v>6478</v>
      </c>
      <c r="H775" s="51"/>
      <c r="I775" s="100"/>
    </row>
    <row r="776" spans="1:9" ht="45" customHeight="1">
      <c r="A776" s="37">
        <v>501</v>
      </c>
      <c r="B776" s="38" t="s">
        <v>405</v>
      </c>
      <c r="C776" s="54" t="s">
        <v>406</v>
      </c>
      <c r="D776" s="40" t="s">
        <v>149</v>
      </c>
      <c r="E776" s="41" t="s">
        <v>25</v>
      </c>
      <c r="F776" s="56">
        <v>1</v>
      </c>
      <c r="G776" s="42">
        <v>88950</v>
      </c>
      <c r="H776" s="40" t="s">
        <v>63</v>
      </c>
      <c r="I776" s="100"/>
    </row>
    <row r="777" spans="1:9" ht="30" customHeight="1" hidden="1">
      <c r="A777" s="37"/>
      <c r="B777" s="45" t="s">
        <v>150</v>
      </c>
      <c r="C777" s="46"/>
      <c r="D777" s="40"/>
      <c r="E777" s="40"/>
      <c r="F777" s="40"/>
      <c r="G777" s="42">
        <f>G776</f>
        <v>88950</v>
      </c>
      <c r="H777" s="51"/>
      <c r="I777" s="100"/>
    </row>
    <row r="778" spans="1:9" ht="30" customHeight="1" hidden="1">
      <c r="A778" s="19"/>
      <c r="B778" s="167"/>
      <c r="C778" s="167"/>
      <c r="D778" s="168"/>
      <c r="E778" s="168"/>
      <c r="F778" s="168"/>
      <c r="G778" s="110"/>
      <c r="H778" s="8"/>
      <c r="I778" s="223"/>
    </row>
    <row r="779" spans="1:9" ht="30" customHeight="1" hidden="1">
      <c r="A779" s="19"/>
      <c r="B779" s="208" t="s">
        <v>151</v>
      </c>
      <c r="C779" s="167"/>
      <c r="D779" s="168"/>
      <c r="E779" s="207"/>
      <c r="F779" s="168"/>
      <c r="G779" s="110"/>
      <c r="H779" s="8"/>
      <c r="I779" s="223"/>
    </row>
    <row r="780" spans="1:9" ht="30" customHeight="1" hidden="1">
      <c r="A780" s="19"/>
      <c r="B780" s="167" t="s">
        <v>693</v>
      </c>
      <c r="C780" s="167"/>
      <c r="D780" s="225" t="s">
        <v>153</v>
      </c>
      <c r="E780" s="226"/>
      <c r="F780" s="168"/>
      <c r="G780" s="110"/>
      <c r="H780" s="8"/>
      <c r="I780" s="223"/>
    </row>
    <row r="781" spans="1:9" ht="30" customHeight="1" hidden="1">
      <c r="A781" s="19"/>
      <c r="B781" s="167"/>
      <c r="C781" s="167"/>
      <c r="D781" s="227" t="s">
        <v>694</v>
      </c>
      <c r="E781" s="228" t="s">
        <v>692</v>
      </c>
      <c r="F781" s="168"/>
      <c r="G781" s="110"/>
      <c r="H781" s="8"/>
      <c r="I781" s="223"/>
    </row>
    <row r="782" spans="1:9" ht="30" customHeight="1" hidden="1">
      <c r="A782" s="19"/>
      <c r="B782" s="167" t="s">
        <v>156</v>
      </c>
      <c r="C782" s="167"/>
      <c r="D782" s="225" t="s">
        <v>157</v>
      </c>
      <c r="E782" s="226"/>
      <c r="F782" s="168"/>
      <c r="G782" s="110"/>
      <c r="H782" s="8"/>
      <c r="I782" s="223"/>
    </row>
    <row r="783" spans="1:9" ht="30" customHeight="1" hidden="1">
      <c r="A783" s="19"/>
      <c r="B783" s="167"/>
      <c r="C783" s="167"/>
      <c r="D783" s="168"/>
      <c r="E783" s="207"/>
      <c r="F783" s="168"/>
      <c r="G783" s="110"/>
      <c r="H783" s="8"/>
      <c r="I783" s="223"/>
    </row>
    <row r="784" spans="1:9" ht="30" customHeight="1" hidden="1">
      <c r="A784" s="19"/>
      <c r="B784" s="167" t="s">
        <v>695</v>
      </c>
      <c r="C784" s="167"/>
      <c r="D784" s="168"/>
      <c r="E784" s="207"/>
      <c r="F784" s="168"/>
      <c r="G784" s="110"/>
      <c r="H784" s="8"/>
      <c r="I784" s="223"/>
    </row>
    <row r="785" spans="1:9" ht="30" customHeight="1" hidden="1">
      <c r="A785" s="19"/>
      <c r="B785" s="229" t="s">
        <v>159</v>
      </c>
      <c r="C785" s="167"/>
      <c r="D785" s="225" t="s">
        <v>160</v>
      </c>
      <c r="E785" s="226"/>
      <c r="F785" s="168"/>
      <c r="G785" s="110"/>
      <c r="H785" s="8"/>
      <c r="I785" s="223"/>
    </row>
    <row r="786" spans="1:9" ht="30" customHeight="1" hidden="1">
      <c r="A786" s="19"/>
      <c r="B786" s="230" t="s">
        <v>161</v>
      </c>
      <c r="C786" s="167"/>
      <c r="D786" s="168"/>
      <c r="E786" s="207"/>
      <c r="F786" s="168"/>
      <c r="G786" s="110"/>
      <c r="H786" s="8"/>
      <c r="I786" s="223"/>
    </row>
    <row r="787" spans="1:9" ht="30" customHeight="1" hidden="1">
      <c r="A787" s="19"/>
      <c r="B787" s="167"/>
      <c r="C787" s="167"/>
      <c r="D787" s="168"/>
      <c r="E787" s="168"/>
      <c r="F787" s="168"/>
      <c r="G787" s="110"/>
      <c r="H787" s="8"/>
      <c r="I787" s="223"/>
    </row>
    <row r="788" spans="1:9" ht="30" customHeight="1" hidden="1">
      <c r="A788" s="19"/>
      <c r="B788" s="19"/>
      <c r="C788" s="190"/>
      <c r="D788" s="187"/>
      <c r="E788" s="187"/>
      <c r="F788" s="209" t="s">
        <v>1</v>
      </c>
      <c r="G788" s="209"/>
      <c r="H788" s="8"/>
      <c r="I788" s="223"/>
    </row>
    <row r="789" spans="1:9" ht="30" customHeight="1" hidden="1">
      <c r="A789" s="19"/>
      <c r="B789" s="190" t="s">
        <v>687</v>
      </c>
      <c r="C789" s="8"/>
      <c r="D789" s="187"/>
      <c r="E789" s="187"/>
      <c r="F789" s="209"/>
      <c r="G789" s="209"/>
      <c r="H789" s="8"/>
      <c r="I789" s="223"/>
    </row>
    <row r="790" spans="1:9" ht="30" customHeight="1" hidden="1">
      <c r="A790" s="19"/>
      <c r="B790" s="167"/>
      <c r="C790" s="167"/>
      <c r="D790" s="168"/>
      <c r="E790" s="207"/>
      <c r="F790" s="207"/>
      <c r="G790" s="110"/>
      <c r="H790" s="8"/>
      <c r="I790" s="223"/>
    </row>
    <row r="791" spans="1:9" ht="30" customHeight="1" hidden="1">
      <c r="A791" s="191" t="s">
        <v>381</v>
      </c>
      <c r="B791" s="191"/>
      <c r="C791" s="191"/>
      <c r="D791" s="191"/>
      <c r="E791" s="191"/>
      <c r="F791" s="191"/>
      <c r="G791" s="191"/>
      <c r="H791" s="191"/>
      <c r="I791" s="191"/>
    </row>
    <row r="792" spans="1:9" ht="29.25" customHeight="1" hidden="1">
      <c r="A792" s="191"/>
      <c r="B792" s="191"/>
      <c r="C792" s="191"/>
      <c r="D792" s="191"/>
      <c r="E792" s="191"/>
      <c r="F792" s="191"/>
      <c r="G792" s="191"/>
      <c r="H792" s="191"/>
      <c r="I792" s="191"/>
    </row>
    <row r="793" spans="1:9" s="7" customFormat="1" ht="29.25" customHeight="1">
      <c r="A793" s="35" t="s">
        <v>677</v>
      </c>
      <c r="B793" s="173"/>
      <c r="C793" s="173"/>
      <c r="D793" s="173"/>
      <c r="E793" s="173"/>
      <c r="F793" s="173"/>
      <c r="G793" s="173"/>
      <c r="H793" s="173"/>
      <c r="I793" s="173"/>
    </row>
    <row r="794" spans="3:9" ht="12" customHeight="1" hidden="1">
      <c r="C794" s="124"/>
      <c r="D794" s="125" t="s">
        <v>4</v>
      </c>
      <c r="E794" s="124"/>
      <c r="F794" s="124"/>
      <c r="H794" s="16"/>
      <c r="I794" s="16"/>
    </row>
    <row r="795" ht="15.75" customHeight="1" hidden="1"/>
    <row r="796" spans="1:11" ht="15.75" customHeight="1" hidden="1">
      <c r="A796" s="26" t="s">
        <v>5</v>
      </c>
      <c r="B796" s="27" t="s">
        <v>6</v>
      </c>
      <c r="C796" s="28" t="s">
        <v>7</v>
      </c>
      <c r="D796" s="28" t="s">
        <v>249</v>
      </c>
      <c r="E796" s="28" t="s">
        <v>9</v>
      </c>
      <c r="F796" s="28" t="s">
        <v>10</v>
      </c>
      <c r="G796" s="128" t="s">
        <v>250</v>
      </c>
      <c r="H796" s="28" t="s">
        <v>251</v>
      </c>
      <c r="I796" s="28" t="s">
        <v>13</v>
      </c>
      <c r="J796" s="71"/>
      <c r="K796" s="71"/>
    </row>
    <row r="797" spans="1:9" ht="31.5" customHeight="1" hidden="1">
      <c r="A797" s="29"/>
      <c r="B797" s="30"/>
      <c r="C797" s="31"/>
      <c r="D797" s="31"/>
      <c r="E797" s="31"/>
      <c r="F797" s="31"/>
      <c r="G797" s="129"/>
      <c r="H797" s="31"/>
      <c r="I797" s="31"/>
    </row>
    <row r="798" spans="1:9" ht="45" customHeight="1" hidden="1">
      <c r="A798" s="32"/>
      <c r="B798" s="33"/>
      <c r="C798" s="34"/>
      <c r="D798" s="34"/>
      <c r="E798" s="34"/>
      <c r="F798" s="34"/>
      <c r="G798" s="130"/>
      <c r="H798" s="34"/>
      <c r="I798" s="34"/>
    </row>
    <row r="799" spans="1:9" ht="20.25" customHeight="1" hidden="1">
      <c r="A799" s="32">
        <v>1</v>
      </c>
      <c r="B799" s="33">
        <v>2</v>
      </c>
      <c r="C799" s="34">
        <v>3</v>
      </c>
      <c r="D799" s="34">
        <v>4</v>
      </c>
      <c r="E799" s="34">
        <v>5</v>
      </c>
      <c r="F799" s="34">
        <v>6</v>
      </c>
      <c r="G799" s="130">
        <v>7</v>
      </c>
      <c r="H799" s="34">
        <v>8</v>
      </c>
      <c r="I799" s="72">
        <v>9</v>
      </c>
    </row>
    <row r="800" spans="1:12" ht="30" customHeight="1">
      <c r="A800" s="37">
        <v>502</v>
      </c>
      <c r="B800" s="38" t="s">
        <v>382</v>
      </c>
      <c r="C800" s="39" t="s">
        <v>24</v>
      </c>
      <c r="D800" s="40" t="s">
        <v>17</v>
      </c>
      <c r="E800" s="41" t="s">
        <v>25</v>
      </c>
      <c r="F800" s="41">
        <v>10</v>
      </c>
      <c r="G800" s="42">
        <v>143.3</v>
      </c>
      <c r="H800" s="155" t="s">
        <v>19</v>
      </c>
      <c r="I800" s="73" t="s">
        <v>253</v>
      </c>
      <c r="L800" s="74"/>
    </row>
    <row r="801" spans="1:12" ht="30" customHeight="1">
      <c r="A801" s="37">
        <v>503</v>
      </c>
      <c r="B801" s="38" t="s">
        <v>23</v>
      </c>
      <c r="C801" s="43" t="s">
        <v>24</v>
      </c>
      <c r="D801" s="40" t="s">
        <v>17</v>
      </c>
      <c r="E801" s="41" t="s">
        <v>25</v>
      </c>
      <c r="F801" s="41">
        <v>3</v>
      </c>
      <c r="G801" s="42">
        <v>523.26</v>
      </c>
      <c r="H801" s="155" t="s">
        <v>19</v>
      </c>
      <c r="I801" s="100"/>
      <c r="L801" s="74"/>
    </row>
    <row r="802" spans="1:12" ht="30" customHeight="1">
      <c r="A802" s="37">
        <v>504</v>
      </c>
      <c r="B802" s="38" t="s">
        <v>15</v>
      </c>
      <c r="C802" s="43" t="s">
        <v>16</v>
      </c>
      <c r="D802" s="40" t="s">
        <v>17</v>
      </c>
      <c r="E802" s="41" t="s">
        <v>18</v>
      </c>
      <c r="F802" s="41">
        <v>10</v>
      </c>
      <c r="G802" s="42">
        <v>2100</v>
      </c>
      <c r="H802" s="155" t="s">
        <v>19</v>
      </c>
      <c r="I802" s="100"/>
      <c r="L802" s="74"/>
    </row>
    <row r="803" spans="1:12" ht="30" customHeight="1">
      <c r="A803" s="37">
        <v>505</v>
      </c>
      <c r="B803" s="98" t="s">
        <v>202</v>
      </c>
      <c r="C803" s="99" t="s">
        <v>27</v>
      </c>
      <c r="D803" s="40" t="s">
        <v>17</v>
      </c>
      <c r="E803" s="41" t="s">
        <v>25</v>
      </c>
      <c r="F803" s="41">
        <v>10</v>
      </c>
      <c r="G803" s="42">
        <v>593.5</v>
      </c>
      <c r="H803" s="155" t="s">
        <v>19</v>
      </c>
      <c r="I803" s="100"/>
      <c r="L803" s="74"/>
    </row>
    <row r="804" spans="1:12" ht="45" customHeight="1">
      <c r="A804" s="37">
        <v>506</v>
      </c>
      <c r="B804" s="38" t="s">
        <v>255</v>
      </c>
      <c r="C804" s="40" t="s">
        <v>27</v>
      </c>
      <c r="D804" s="40" t="s">
        <v>17</v>
      </c>
      <c r="E804" s="41" t="s">
        <v>22</v>
      </c>
      <c r="F804" s="41">
        <v>2</v>
      </c>
      <c r="G804" s="42">
        <v>352.74</v>
      </c>
      <c r="H804" s="155" t="s">
        <v>19</v>
      </c>
      <c r="I804" s="100"/>
      <c r="L804" s="74"/>
    </row>
    <row r="805" spans="1:12" ht="44.25" customHeight="1">
      <c r="A805" s="37">
        <v>507</v>
      </c>
      <c r="B805" s="38" t="s">
        <v>383</v>
      </c>
      <c r="C805" s="241" t="s">
        <v>346</v>
      </c>
      <c r="D805" s="40" t="s">
        <v>17</v>
      </c>
      <c r="E805" s="41" t="s">
        <v>25</v>
      </c>
      <c r="F805" s="41">
        <v>1</v>
      </c>
      <c r="G805" s="42">
        <v>990</v>
      </c>
      <c r="H805" s="155" t="s">
        <v>19</v>
      </c>
      <c r="I805" s="100"/>
      <c r="L805" s="74"/>
    </row>
    <row r="806" spans="1:12" ht="30.75" customHeight="1">
      <c r="A806" s="37">
        <v>508</v>
      </c>
      <c r="B806" s="38" t="s">
        <v>257</v>
      </c>
      <c r="C806" s="43" t="s">
        <v>33</v>
      </c>
      <c r="D806" s="40" t="s">
        <v>17</v>
      </c>
      <c r="E806" s="41" t="s">
        <v>193</v>
      </c>
      <c r="F806" s="41">
        <v>40</v>
      </c>
      <c r="G806" s="42">
        <v>4800</v>
      </c>
      <c r="H806" s="155" t="s">
        <v>19</v>
      </c>
      <c r="I806" s="100"/>
      <c r="L806" s="74"/>
    </row>
    <row r="807" spans="1:12" ht="30" customHeight="1">
      <c r="A807" s="37">
        <v>509</v>
      </c>
      <c r="B807" s="38" t="s">
        <v>368</v>
      </c>
      <c r="C807" s="40" t="s">
        <v>42</v>
      </c>
      <c r="D807" s="40" t="s">
        <v>17</v>
      </c>
      <c r="E807" s="41" t="s">
        <v>25</v>
      </c>
      <c r="F807" s="41">
        <v>5</v>
      </c>
      <c r="G807" s="42">
        <v>760</v>
      </c>
      <c r="H807" s="155" t="s">
        <v>19</v>
      </c>
      <c r="I807" s="100"/>
      <c r="J807" s="12">
        <v>1</v>
      </c>
      <c r="K807" s="12">
        <v>204</v>
      </c>
      <c r="L807" s="74" t="e">
        <f>#REF!-K807</f>
        <v>#REF!</v>
      </c>
    </row>
    <row r="808" spans="1:12" ht="30.75" customHeight="1">
      <c r="A808" s="37">
        <v>510</v>
      </c>
      <c r="B808" s="98" t="s">
        <v>384</v>
      </c>
      <c r="C808" s="40" t="s">
        <v>179</v>
      </c>
      <c r="D808" s="40" t="s">
        <v>17</v>
      </c>
      <c r="E808" s="41" t="s">
        <v>25</v>
      </c>
      <c r="F808" s="41">
        <v>2</v>
      </c>
      <c r="G808" s="42">
        <v>444.1</v>
      </c>
      <c r="H808" s="155" t="s">
        <v>19</v>
      </c>
      <c r="I808" s="100"/>
      <c r="L808" s="74"/>
    </row>
    <row r="809" spans="1:12" ht="30.75" customHeight="1">
      <c r="A809" s="37">
        <v>511</v>
      </c>
      <c r="B809" s="38" t="s">
        <v>385</v>
      </c>
      <c r="C809" s="241" t="s">
        <v>44</v>
      </c>
      <c r="D809" s="40" t="s">
        <v>17</v>
      </c>
      <c r="E809" s="41" t="s">
        <v>25</v>
      </c>
      <c r="F809" s="41">
        <v>2</v>
      </c>
      <c r="G809" s="42">
        <v>1627.22</v>
      </c>
      <c r="H809" s="155" t="s">
        <v>19</v>
      </c>
      <c r="I809" s="100"/>
      <c r="L809" s="74"/>
    </row>
    <row r="810" spans="1:12" ht="30.75" customHeight="1">
      <c r="A810" s="37">
        <v>512</v>
      </c>
      <c r="B810" s="38" t="s">
        <v>386</v>
      </c>
      <c r="C810" s="43" t="s">
        <v>387</v>
      </c>
      <c r="D810" s="40" t="s">
        <v>17</v>
      </c>
      <c r="E810" s="41" t="s">
        <v>25</v>
      </c>
      <c r="F810" s="41">
        <v>30</v>
      </c>
      <c r="G810" s="42">
        <v>680.1</v>
      </c>
      <c r="H810" s="155" t="s">
        <v>19</v>
      </c>
      <c r="I810" s="100"/>
      <c r="L810" s="74"/>
    </row>
    <row r="811" spans="1:12" ht="30.75" customHeight="1">
      <c r="A811" s="37">
        <v>513</v>
      </c>
      <c r="B811" s="38" t="s">
        <v>388</v>
      </c>
      <c r="C811" s="43" t="s">
        <v>389</v>
      </c>
      <c r="D811" s="40" t="s">
        <v>17</v>
      </c>
      <c r="E811" s="41" t="s">
        <v>25</v>
      </c>
      <c r="F811" s="41">
        <v>10</v>
      </c>
      <c r="G811" s="42">
        <v>366.5</v>
      </c>
      <c r="H811" s="155" t="s">
        <v>19</v>
      </c>
      <c r="I811" s="100"/>
      <c r="L811" s="74"/>
    </row>
    <row r="812" spans="1:12" ht="45" customHeight="1">
      <c r="A812" s="37">
        <v>514</v>
      </c>
      <c r="B812" s="98" t="s">
        <v>390</v>
      </c>
      <c r="C812" s="40" t="s">
        <v>391</v>
      </c>
      <c r="D812" s="40" t="s">
        <v>17</v>
      </c>
      <c r="E812" s="41" t="s">
        <v>25</v>
      </c>
      <c r="F812" s="41">
        <v>2</v>
      </c>
      <c r="G812" s="42">
        <v>256.38</v>
      </c>
      <c r="H812" s="155" t="s">
        <v>19</v>
      </c>
      <c r="I812" s="100"/>
      <c r="L812" s="74"/>
    </row>
    <row r="813" spans="1:12" ht="30.75" customHeight="1">
      <c r="A813" s="37">
        <v>515</v>
      </c>
      <c r="B813" s="38" t="s">
        <v>392</v>
      </c>
      <c r="C813" s="241" t="s">
        <v>42</v>
      </c>
      <c r="D813" s="40" t="s">
        <v>17</v>
      </c>
      <c r="E813" s="41" t="s">
        <v>25</v>
      </c>
      <c r="F813" s="41">
        <v>1</v>
      </c>
      <c r="G813" s="42">
        <v>202.06</v>
      </c>
      <c r="H813" s="155" t="s">
        <v>19</v>
      </c>
      <c r="I813" s="100"/>
      <c r="L813" s="74"/>
    </row>
    <row r="814" spans="1:12" ht="30" customHeight="1">
      <c r="A814" s="37">
        <v>516</v>
      </c>
      <c r="B814" s="38" t="s">
        <v>393</v>
      </c>
      <c r="C814" s="43" t="s">
        <v>24</v>
      </c>
      <c r="D814" s="40" t="s">
        <v>17</v>
      </c>
      <c r="E814" s="41" t="s">
        <v>25</v>
      </c>
      <c r="F814" s="41">
        <v>4</v>
      </c>
      <c r="G814" s="42">
        <v>582.36</v>
      </c>
      <c r="H814" s="155" t="s">
        <v>19</v>
      </c>
      <c r="I814" s="100"/>
      <c r="L814" s="74"/>
    </row>
    <row r="815" spans="1:12" ht="30.75" customHeight="1">
      <c r="A815" s="37">
        <v>517</v>
      </c>
      <c r="B815" s="38" t="s">
        <v>394</v>
      </c>
      <c r="C815" s="43" t="s">
        <v>40</v>
      </c>
      <c r="D815" s="40" t="s">
        <v>17</v>
      </c>
      <c r="E815" s="41" t="s">
        <v>25</v>
      </c>
      <c r="F815" s="41">
        <v>1</v>
      </c>
      <c r="G815" s="42">
        <v>83.06</v>
      </c>
      <c r="H815" s="155" t="s">
        <v>19</v>
      </c>
      <c r="I815" s="100"/>
      <c r="L815" s="74"/>
    </row>
    <row r="816" spans="1:12" ht="30.75" customHeight="1">
      <c r="A816" s="37">
        <v>518</v>
      </c>
      <c r="B816" s="38" t="s">
        <v>395</v>
      </c>
      <c r="C816" s="43" t="s">
        <v>387</v>
      </c>
      <c r="D816" s="40" t="s">
        <v>17</v>
      </c>
      <c r="E816" s="41" t="s">
        <v>25</v>
      </c>
      <c r="F816" s="41">
        <v>50</v>
      </c>
      <c r="G816" s="42">
        <v>1956.5</v>
      </c>
      <c r="H816" s="155" t="s">
        <v>19</v>
      </c>
      <c r="I816" s="100"/>
      <c r="L816" s="74"/>
    </row>
    <row r="817" spans="1:12" ht="30.75" customHeight="1">
      <c r="A817" s="37">
        <v>519</v>
      </c>
      <c r="B817" s="98" t="s">
        <v>396</v>
      </c>
      <c r="C817" s="40" t="s">
        <v>179</v>
      </c>
      <c r="D817" s="40" t="s">
        <v>17</v>
      </c>
      <c r="E817" s="41" t="s">
        <v>25</v>
      </c>
      <c r="F817" s="41">
        <v>10</v>
      </c>
      <c r="G817" s="42">
        <v>525</v>
      </c>
      <c r="H817" s="155" t="s">
        <v>19</v>
      </c>
      <c r="I817" s="100"/>
      <c r="L817" s="74"/>
    </row>
    <row r="818" spans="1:12" ht="45" customHeight="1">
      <c r="A818" s="37">
        <v>520</v>
      </c>
      <c r="B818" s="98" t="s">
        <v>397</v>
      </c>
      <c r="C818" s="40" t="s">
        <v>52</v>
      </c>
      <c r="D818" s="40" t="s">
        <v>17</v>
      </c>
      <c r="E818" s="41" t="s">
        <v>25</v>
      </c>
      <c r="F818" s="41">
        <v>6</v>
      </c>
      <c r="G818" s="42">
        <v>544.08</v>
      </c>
      <c r="H818" s="155" t="s">
        <v>19</v>
      </c>
      <c r="I818" s="100"/>
      <c r="L818" s="74"/>
    </row>
    <row r="819" spans="1:12" ht="30.75" customHeight="1">
      <c r="A819" s="37">
        <v>521</v>
      </c>
      <c r="B819" s="38" t="s">
        <v>398</v>
      </c>
      <c r="C819" s="241" t="s">
        <v>399</v>
      </c>
      <c r="D819" s="40" t="s">
        <v>17</v>
      </c>
      <c r="E819" s="41" t="s">
        <v>25</v>
      </c>
      <c r="F819" s="41">
        <v>2</v>
      </c>
      <c r="G819" s="42">
        <v>259.64</v>
      </c>
      <c r="H819" s="155" t="s">
        <v>19</v>
      </c>
      <c r="I819" s="100"/>
      <c r="L819" s="74"/>
    </row>
    <row r="820" spans="1:12" ht="30.75" customHeight="1">
      <c r="A820" s="37">
        <v>522</v>
      </c>
      <c r="B820" s="38" t="s">
        <v>400</v>
      </c>
      <c r="C820" s="40" t="s">
        <v>294</v>
      </c>
      <c r="D820" s="40" t="s">
        <v>17</v>
      </c>
      <c r="E820" s="41" t="s">
        <v>25</v>
      </c>
      <c r="F820" s="41">
        <v>6</v>
      </c>
      <c r="G820" s="42">
        <v>7200</v>
      </c>
      <c r="H820" s="155" t="s">
        <v>19</v>
      </c>
      <c r="I820" s="100"/>
      <c r="L820" s="74"/>
    </row>
    <row r="821" spans="1:12" ht="30" customHeight="1">
      <c r="A821" s="37">
        <v>523</v>
      </c>
      <c r="B821" s="38" t="s">
        <v>57</v>
      </c>
      <c r="C821" s="40" t="s">
        <v>58</v>
      </c>
      <c r="D821" s="40" t="s">
        <v>17</v>
      </c>
      <c r="E821" s="41" t="s">
        <v>25</v>
      </c>
      <c r="F821" s="41">
        <v>1</v>
      </c>
      <c r="G821" s="42">
        <v>2500.2</v>
      </c>
      <c r="H821" s="155" t="s">
        <v>19</v>
      </c>
      <c r="I821" s="100"/>
      <c r="L821" s="74"/>
    </row>
    <row r="822" spans="1:12" ht="30.75" customHeight="1" hidden="1">
      <c r="A822" s="37"/>
      <c r="B822" s="86" t="s">
        <v>59</v>
      </c>
      <c r="C822" s="46"/>
      <c r="D822" s="40"/>
      <c r="E822" s="41"/>
      <c r="F822" s="41"/>
      <c r="G822" s="42">
        <f>SUM(G800:G821)</f>
        <v>27490</v>
      </c>
      <c r="H822" s="51"/>
      <c r="I822" s="100"/>
      <c r="L822" s="74">
        <f>G822-K822</f>
        <v>27490</v>
      </c>
    </row>
    <row r="823" spans="1:12" ht="30" customHeight="1">
      <c r="A823" s="37">
        <v>524</v>
      </c>
      <c r="B823" s="38" t="s">
        <v>64</v>
      </c>
      <c r="C823" s="40" t="s">
        <v>65</v>
      </c>
      <c r="D823" s="40" t="s">
        <v>62</v>
      </c>
      <c r="E823" s="41" t="s">
        <v>34</v>
      </c>
      <c r="F823" s="69">
        <f>9+44</f>
        <v>53</v>
      </c>
      <c r="G823" s="42">
        <v>896.7</v>
      </c>
      <c r="H823" s="155" t="s">
        <v>63</v>
      </c>
      <c r="I823" s="100"/>
      <c r="L823" s="74"/>
    </row>
    <row r="824" spans="1:12" ht="30" customHeight="1">
      <c r="A824" s="37">
        <v>525</v>
      </c>
      <c r="B824" s="38" t="s">
        <v>71</v>
      </c>
      <c r="C824" s="40" t="s">
        <v>72</v>
      </c>
      <c r="D824" s="40" t="s">
        <v>62</v>
      </c>
      <c r="E824" s="41" t="s">
        <v>34</v>
      </c>
      <c r="F824" s="69">
        <v>3</v>
      </c>
      <c r="G824" s="42">
        <v>45.9</v>
      </c>
      <c r="H824" s="155" t="s">
        <v>63</v>
      </c>
      <c r="I824" s="100"/>
      <c r="L824" s="74"/>
    </row>
    <row r="825" spans="1:12" ht="30" customHeight="1">
      <c r="A825" s="37">
        <v>526</v>
      </c>
      <c r="B825" s="38" t="s">
        <v>75</v>
      </c>
      <c r="C825" s="71" t="s">
        <v>76</v>
      </c>
      <c r="D825" s="40" t="s">
        <v>62</v>
      </c>
      <c r="E825" s="41" t="s">
        <v>77</v>
      </c>
      <c r="F825" s="69">
        <v>5</v>
      </c>
      <c r="G825" s="42">
        <v>381</v>
      </c>
      <c r="H825" s="155" t="s">
        <v>63</v>
      </c>
      <c r="I825" s="100"/>
      <c r="L825" s="74"/>
    </row>
    <row r="826" spans="1:12" ht="30" customHeight="1">
      <c r="A826" s="37">
        <v>527</v>
      </c>
      <c r="B826" s="38" t="s">
        <v>78</v>
      </c>
      <c r="C826" s="40" t="s">
        <v>79</v>
      </c>
      <c r="D826" s="40" t="s">
        <v>62</v>
      </c>
      <c r="E826" s="41" t="s">
        <v>34</v>
      </c>
      <c r="F826" s="69">
        <v>2.2</v>
      </c>
      <c r="G826" s="42">
        <v>677.26</v>
      </c>
      <c r="H826" s="155" t="s">
        <v>63</v>
      </c>
      <c r="I826" s="100"/>
      <c r="L826" s="74"/>
    </row>
    <row r="827" spans="1:12" ht="45" customHeight="1">
      <c r="A827" s="37">
        <v>528</v>
      </c>
      <c r="B827" s="38" t="s">
        <v>84</v>
      </c>
      <c r="C827" s="40" t="s">
        <v>85</v>
      </c>
      <c r="D827" s="40" t="s">
        <v>62</v>
      </c>
      <c r="E827" s="41" t="s">
        <v>34</v>
      </c>
      <c r="F827" s="69">
        <f>0.65+3.9</f>
        <v>4.55</v>
      </c>
      <c r="G827" s="42">
        <v>536.84</v>
      </c>
      <c r="H827" s="155" t="s">
        <v>63</v>
      </c>
      <c r="I827" s="100"/>
      <c r="L827" s="74"/>
    </row>
    <row r="828" spans="1:12" ht="30" customHeight="1">
      <c r="A828" s="37">
        <v>529</v>
      </c>
      <c r="B828" s="38" t="s">
        <v>665</v>
      </c>
      <c r="C828" s="40" t="s">
        <v>666</v>
      </c>
      <c r="D828" s="40" t="s">
        <v>62</v>
      </c>
      <c r="E828" s="41" t="s">
        <v>34</v>
      </c>
      <c r="F828" s="69">
        <v>13</v>
      </c>
      <c r="G828" s="42">
        <v>1620.84</v>
      </c>
      <c r="H828" s="155" t="s">
        <v>63</v>
      </c>
      <c r="I828" s="100"/>
      <c r="L828" s="74"/>
    </row>
    <row r="829" spans="1:12" ht="30" customHeight="1">
      <c r="A829" s="37">
        <v>530</v>
      </c>
      <c r="B829" s="38" t="s">
        <v>88</v>
      </c>
      <c r="C829" s="40" t="s">
        <v>85</v>
      </c>
      <c r="D829" s="40" t="s">
        <v>62</v>
      </c>
      <c r="E829" s="41" t="s">
        <v>34</v>
      </c>
      <c r="F829" s="69">
        <v>5</v>
      </c>
      <c r="G829" s="42">
        <v>621.7</v>
      </c>
      <c r="H829" s="155" t="s">
        <v>63</v>
      </c>
      <c r="I829" s="100"/>
      <c r="L829" s="74"/>
    </row>
    <row r="830" spans="1:12" ht="30" customHeight="1">
      <c r="A830" s="37">
        <v>531</v>
      </c>
      <c r="B830" s="38" t="s">
        <v>89</v>
      </c>
      <c r="C830" s="40" t="s">
        <v>90</v>
      </c>
      <c r="D830" s="40" t="s">
        <v>62</v>
      </c>
      <c r="E830" s="41" t="s">
        <v>34</v>
      </c>
      <c r="F830" s="69">
        <v>4</v>
      </c>
      <c r="G830" s="42">
        <v>198.2</v>
      </c>
      <c r="H830" s="155" t="s">
        <v>63</v>
      </c>
      <c r="I830" s="100"/>
      <c r="L830" s="74"/>
    </row>
    <row r="831" spans="1:12" ht="30" customHeight="1">
      <c r="A831" s="37">
        <v>532</v>
      </c>
      <c r="B831" s="38" t="s">
        <v>91</v>
      </c>
      <c r="C831" s="40" t="s">
        <v>92</v>
      </c>
      <c r="D831" s="40" t="s">
        <v>62</v>
      </c>
      <c r="E831" s="41" t="s">
        <v>34</v>
      </c>
      <c r="F831" s="69">
        <v>11</v>
      </c>
      <c r="G831" s="42">
        <v>1755.45</v>
      </c>
      <c r="H831" s="155" t="s">
        <v>63</v>
      </c>
      <c r="I831" s="100"/>
      <c r="L831" s="74"/>
    </row>
    <row r="832" spans="1:12" ht="30" customHeight="1">
      <c r="A832" s="37">
        <v>533</v>
      </c>
      <c r="B832" s="38" t="s">
        <v>93</v>
      </c>
      <c r="C832" s="40" t="s">
        <v>94</v>
      </c>
      <c r="D832" s="40" t="s">
        <v>62</v>
      </c>
      <c r="E832" s="41" t="s">
        <v>34</v>
      </c>
      <c r="F832" s="69">
        <f>0.38+1.9</f>
        <v>2.28</v>
      </c>
      <c r="G832" s="42">
        <v>295.98</v>
      </c>
      <c r="H832" s="155" t="s">
        <v>63</v>
      </c>
      <c r="I832" s="100"/>
      <c r="L832" s="74"/>
    </row>
    <row r="833" spans="1:12" ht="30" customHeight="1">
      <c r="A833" s="37">
        <v>534</v>
      </c>
      <c r="B833" s="38" t="s">
        <v>224</v>
      </c>
      <c r="C833" s="40" t="s">
        <v>225</v>
      </c>
      <c r="D833" s="40" t="s">
        <v>62</v>
      </c>
      <c r="E833" s="41" t="s">
        <v>34</v>
      </c>
      <c r="F833" s="69">
        <v>1</v>
      </c>
      <c r="G833" s="42">
        <v>12.7</v>
      </c>
      <c r="H833" s="155" t="s">
        <v>63</v>
      </c>
      <c r="I833" s="100"/>
      <c r="L833" s="74"/>
    </row>
    <row r="834" spans="1:12" ht="30" customHeight="1">
      <c r="A834" s="37">
        <v>535</v>
      </c>
      <c r="B834" s="40" t="s">
        <v>95</v>
      </c>
      <c r="C834" s="40" t="s">
        <v>96</v>
      </c>
      <c r="D834" s="40" t="s">
        <v>62</v>
      </c>
      <c r="E834" s="41" t="s">
        <v>34</v>
      </c>
      <c r="F834" s="69">
        <v>11</v>
      </c>
      <c r="G834" s="42">
        <v>2283.31</v>
      </c>
      <c r="H834" s="155" t="s">
        <v>63</v>
      </c>
      <c r="I834" s="100"/>
      <c r="L834" s="74"/>
    </row>
    <row r="835" spans="1:12" ht="30" customHeight="1">
      <c r="A835" s="37">
        <v>536</v>
      </c>
      <c r="B835" s="40" t="s">
        <v>667</v>
      </c>
      <c r="C835" s="40" t="s">
        <v>668</v>
      </c>
      <c r="D835" s="40" t="s">
        <v>62</v>
      </c>
      <c r="E835" s="41" t="s">
        <v>34</v>
      </c>
      <c r="F835" s="69">
        <v>15</v>
      </c>
      <c r="G835" s="42">
        <v>3379.5</v>
      </c>
      <c r="H835" s="155" t="s">
        <v>63</v>
      </c>
      <c r="I835" s="100"/>
      <c r="L835" s="74"/>
    </row>
    <row r="836" spans="1:12" ht="45" customHeight="1">
      <c r="A836" s="37">
        <v>537</v>
      </c>
      <c r="B836" s="54" t="s">
        <v>98</v>
      </c>
      <c r="C836" s="40" t="s">
        <v>61</v>
      </c>
      <c r="D836" s="40" t="s">
        <v>62</v>
      </c>
      <c r="E836" s="41" t="s">
        <v>25</v>
      </c>
      <c r="F836" s="69">
        <v>41</v>
      </c>
      <c r="G836" s="42">
        <v>617.25</v>
      </c>
      <c r="H836" s="155" t="s">
        <v>63</v>
      </c>
      <c r="I836" s="100"/>
      <c r="L836" s="74"/>
    </row>
    <row r="837" spans="1:12" ht="30" customHeight="1">
      <c r="A837" s="37">
        <v>538</v>
      </c>
      <c r="B837" s="40" t="s">
        <v>99</v>
      </c>
      <c r="C837" s="40" t="s">
        <v>100</v>
      </c>
      <c r="D837" s="40" t="s">
        <v>62</v>
      </c>
      <c r="E837" s="41" t="s">
        <v>34</v>
      </c>
      <c r="F837" s="69">
        <v>6</v>
      </c>
      <c r="G837" s="42">
        <v>1710.52</v>
      </c>
      <c r="H837" s="155" t="s">
        <v>63</v>
      </c>
      <c r="I837" s="100"/>
      <c r="L837" s="74"/>
    </row>
    <row r="838" spans="1:12" ht="30" customHeight="1">
      <c r="A838" s="37">
        <v>539</v>
      </c>
      <c r="B838" s="40" t="s">
        <v>228</v>
      </c>
      <c r="C838" s="40" t="s">
        <v>229</v>
      </c>
      <c r="D838" s="40" t="s">
        <v>62</v>
      </c>
      <c r="E838" s="41" t="s">
        <v>34</v>
      </c>
      <c r="F838" s="69">
        <v>10</v>
      </c>
      <c r="G838" s="42">
        <v>401.45</v>
      </c>
      <c r="H838" s="155" t="s">
        <v>63</v>
      </c>
      <c r="I838" s="100"/>
      <c r="L838" s="74"/>
    </row>
    <row r="839" spans="1:12" ht="30" customHeight="1">
      <c r="A839" s="37">
        <v>540</v>
      </c>
      <c r="B839" s="40" t="s">
        <v>103</v>
      </c>
      <c r="C839" s="40" t="s">
        <v>104</v>
      </c>
      <c r="D839" s="40" t="s">
        <v>62</v>
      </c>
      <c r="E839" s="41" t="s">
        <v>25</v>
      </c>
      <c r="F839" s="69">
        <v>145</v>
      </c>
      <c r="G839" s="42">
        <v>672.8</v>
      </c>
      <c r="H839" s="155" t="s">
        <v>63</v>
      </c>
      <c r="I839" s="100"/>
      <c r="L839" s="74"/>
    </row>
    <row r="840" spans="1:12" ht="30" customHeight="1">
      <c r="A840" s="37">
        <v>541</v>
      </c>
      <c r="B840" s="38" t="s">
        <v>105</v>
      </c>
      <c r="C840" s="40" t="s">
        <v>70</v>
      </c>
      <c r="D840" s="40" t="s">
        <v>62</v>
      </c>
      <c r="E840" s="41" t="s">
        <v>34</v>
      </c>
      <c r="F840" s="69">
        <v>4</v>
      </c>
      <c r="G840" s="42">
        <v>132.6</v>
      </c>
      <c r="H840" s="155" t="s">
        <v>63</v>
      </c>
      <c r="I840" s="100"/>
      <c r="L840" s="74"/>
    </row>
    <row r="841" spans="1:12" ht="30.75" customHeight="1" hidden="1">
      <c r="A841" s="37"/>
      <c r="B841" s="45"/>
      <c r="C841" s="46"/>
      <c r="D841" s="242" t="s">
        <v>106</v>
      </c>
      <c r="E841" s="243"/>
      <c r="F841" s="41"/>
      <c r="G841" s="42">
        <f>SUM(G823:G840)</f>
        <v>16240</v>
      </c>
      <c r="H841" s="51"/>
      <c r="I841" s="100"/>
      <c r="L841" s="74"/>
    </row>
    <row r="842" spans="1:12" ht="45" customHeight="1">
      <c r="A842" s="37">
        <v>542</v>
      </c>
      <c r="B842" s="38" t="s">
        <v>236</v>
      </c>
      <c r="C842" s="40" t="s">
        <v>119</v>
      </c>
      <c r="D842" s="40" t="s">
        <v>109</v>
      </c>
      <c r="E842" s="41" t="s">
        <v>120</v>
      </c>
      <c r="F842" s="41" t="s">
        <v>121</v>
      </c>
      <c r="G842" s="163">
        <v>2626.76</v>
      </c>
      <c r="H842" s="155" t="s">
        <v>63</v>
      </c>
      <c r="I842" s="100"/>
      <c r="K842" s="12">
        <v>861.81</v>
      </c>
      <c r="L842" s="74">
        <f aca="true" t="shared" si="11" ref="L842:L847">G842-K842</f>
        <v>1764.9500000000003</v>
      </c>
    </row>
    <row r="843" spans="1:12" ht="30" customHeight="1">
      <c r="A843" s="37">
        <v>543</v>
      </c>
      <c r="B843" s="38" t="s">
        <v>401</v>
      </c>
      <c r="C843" s="40" t="s">
        <v>239</v>
      </c>
      <c r="D843" s="40" t="s">
        <v>109</v>
      </c>
      <c r="E843" s="41" t="s">
        <v>285</v>
      </c>
      <c r="F843" s="41">
        <v>150</v>
      </c>
      <c r="G843" s="163">
        <v>444</v>
      </c>
      <c r="H843" s="155" t="s">
        <v>63</v>
      </c>
      <c r="I843" s="100"/>
      <c r="L843" s="74">
        <f t="shared" si="11"/>
        <v>444</v>
      </c>
    </row>
    <row r="844" spans="1:12" ht="30" customHeight="1">
      <c r="A844" s="37">
        <v>544</v>
      </c>
      <c r="B844" s="38" t="s">
        <v>284</v>
      </c>
      <c r="C844" s="40" t="s">
        <v>239</v>
      </c>
      <c r="D844" s="40" t="s">
        <v>109</v>
      </c>
      <c r="E844" s="41" t="s">
        <v>285</v>
      </c>
      <c r="F844" s="41">
        <v>1006.72</v>
      </c>
      <c r="G844" s="163">
        <v>2597.34</v>
      </c>
      <c r="H844" s="155" t="s">
        <v>63</v>
      </c>
      <c r="I844" s="100"/>
      <c r="L844" s="74">
        <f t="shared" si="11"/>
        <v>2597.34</v>
      </c>
    </row>
    <row r="845" spans="1:12" ht="30" customHeight="1">
      <c r="A845" s="37">
        <v>545</v>
      </c>
      <c r="B845" s="38" t="s">
        <v>130</v>
      </c>
      <c r="C845" s="40" t="s">
        <v>131</v>
      </c>
      <c r="D845" s="40" t="s">
        <v>109</v>
      </c>
      <c r="E845" s="41" t="s">
        <v>25</v>
      </c>
      <c r="F845" s="41">
        <v>1</v>
      </c>
      <c r="G845" s="163">
        <v>280</v>
      </c>
      <c r="H845" s="155" t="s">
        <v>19</v>
      </c>
      <c r="I845" s="100"/>
      <c r="L845" s="74">
        <f t="shared" si="11"/>
        <v>280</v>
      </c>
    </row>
    <row r="846" spans="1:12" ht="30" customHeight="1">
      <c r="A846" s="37">
        <v>546</v>
      </c>
      <c r="B846" s="38" t="s">
        <v>130</v>
      </c>
      <c r="C846" s="40" t="s">
        <v>131</v>
      </c>
      <c r="D846" s="40" t="s">
        <v>109</v>
      </c>
      <c r="E846" s="41" t="s">
        <v>25</v>
      </c>
      <c r="F846" s="41">
        <v>3</v>
      </c>
      <c r="G846" s="163">
        <v>840</v>
      </c>
      <c r="H846" s="155" t="s">
        <v>132</v>
      </c>
      <c r="I846" s="100"/>
      <c r="L846" s="74">
        <f t="shared" si="11"/>
        <v>840</v>
      </c>
    </row>
    <row r="847" spans="1:12" ht="30" customHeight="1">
      <c r="A847" s="37">
        <v>547</v>
      </c>
      <c r="B847" s="98" t="s">
        <v>111</v>
      </c>
      <c r="C847" s="99" t="s">
        <v>112</v>
      </c>
      <c r="D847" s="99" t="s">
        <v>109</v>
      </c>
      <c r="E847" s="162" t="s">
        <v>113</v>
      </c>
      <c r="F847" s="41" t="s">
        <v>402</v>
      </c>
      <c r="G847" s="163">
        <v>360</v>
      </c>
      <c r="H847" s="155" t="s">
        <v>63</v>
      </c>
      <c r="I847" s="100"/>
      <c r="L847" s="74">
        <f t="shared" si="11"/>
        <v>360</v>
      </c>
    </row>
    <row r="848" spans="1:12" ht="45" customHeight="1">
      <c r="A848" s="37">
        <v>548</v>
      </c>
      <c r="B848" s="38" t="s">
        <v>128</v>
      </c>
      <c r="C848" s="88" t="s">
        <v>129</v>
      </c>
      <c r="D848" s="40" t="s">
        <v>109</v>
      </c>
      <c r="E848" s="41" t="s">
        <v>25</v>
      </c>
      <c r="F848" s="41">
        <v>1</v>
      </c>
      <c r="G848" s="163">
        <v>75529</v>
      </c>
      <c r="H848" s="155" t="s">
        <v>63</v>
      </c>
      <c r="I848" s="100"/>
      <c r="L848" s="74"/>
    </row>
    <row r="849" spans="1:12" ht="45" customHeight="1">
      <c r="A849" s="37">
        <v>549</v>
      </c>
      <c r="B849" s="38" t="s">
        <v>403</v>
      </c>
      <c r="C849" s="88" t="s">
        <v>242</v>
      </c>
      <c r="D849" s="40" t="s">
        <v>109</v>
      </c>
      <c r="E849" s="41" t="s">
        <v>25</v>
      </c>
      <c r="F849" s="41">
        <v>2</v>
      </c>
      <c r="G849" s="163">
        <v>325</v>
      </c>
      <c r="H849" s="155" t="s">
        <v>19</v>
      </c>
      <c r="I849" s="100"/>
      <c r="L849" s="74"/>
    </row>
    <row r="850" spans="1:12" ht="45" customHeight="1">
      <c r="A850" s="37">
        <v>550</v>
      </c>
      <c r="B850" s="38" t="s">
        <v>404</v>
      </c>
      <c r="C850" s="88" t="s">
        <v>242</v>
      </c>
      <c r="D850" s="40" t="s">
        <v>109</v>
      </c>
      <c r="E850" s="41" t="s">
        <v>25</v>
      </c>
      <c r="F850" s="41">
        <v>2</v>
      </c>
      <c r="G850" s="163">
        <v>366.9</v>
      </c>
      <c r="H850" s="155" t="s">
        <v>19</v>
      </c>
      <c r="I850" s="100"/>
      <c r="L850" s="74"/>
    </row>
    <row r="851" spans="1:12" ht="36.75" customHeight="1" hidden="1">
      <c r="A851" s="37">
        <v>566</v>
      </c>
      <c r="B851" s="45" t="s">
        <v>136</v>
      </c>
      <c r="C851" s="46"/>
      <c r="D851" s="40"/>
      <c r="E851" s="41"/>
      <c r="F851" s="41"/>
      <c r="G851" s="42">
        <f>SUM(G842:G850)</f>
        <v>83369</v>
      </c>
      <c r="H851" s="51"/>
      <c r="I851" s="100"/>
      <c r="K851" s="74"/>
      <c r="L851" s="74" t="e">
        <f>SUM(#REF!)</f>
        <v>#REF!</v>
      </c>
    </row>
    <row r="852" spans="1:11" ht="30" customHeight="1">
      <c r="A852" s="37">
        <v>551</v>
      </c>
      <c r="B852" s="38" t="s">
        <v>137</v>
      </c>
      <c r="C852" s="40" t="s">
        <v>138</v>
      </c>
      <c r="D852" s="40" t="s">
        <v>139</v>
      </c>
      <c r="E852" s="41" t="s">
        <v>140</v>
      </c>
      <c r="F852" s="53">
        <f>G852/67.76</f>
        <v>3212.514757969303</v>
      </c>
      <c r="G852" s="42">
        <v>217680</v>
      </c>
      <c r="H852" s="40" t="s">
        <v>63</v>
      </c>
      <c r="I852" s="100"/>
      <c r="K852" s="12">
        <v>89955</v>
      </c>
    </row>
    <row r="853" spans="1:9" ht="21" customHeight="1" hidden="1">
      <c r="A853" s="37">
        <v>568</v>
      </c>
      <c r="B853" s="45" t="s">
        <v>141</v>
      </c>
      <c r="C853" s="46"/>
      <c r="D853" s="40"/>
      <c r="E853" s="41"/>
      <c r="F853" s="41"/>
      <c r="G853" s="42">
        <f>SUM(G852:G852)</f>
        <v>217680</v>
      </c>
      <c r="H853" s="51"/>
      <c r="I853" s="100"/>
    </row>
    <row r="854" spans="1:9" ht="30" customHeight="1">
      <c r="A854" s="37">
        <v>552</v>
      </c>
      <c r="B854" s="38" t="s">
        <v>142</v>
      </c>
      <c r="C854" s="54" t="s">
        <v>143</v>
      </c>
      <c r="D854" s="40" t="s">
        <v>144</v>
      </c>
      <c r="E854" s="41" t="s">
        <v>145</v>
      </c>
      <c r="F854" s="56">
        <f>G854/4.14243</f>
        <v>839.3624032270914</v>
      </c>
      <c r="G854" s="42">
        <v>3477</v>
      </c>
      <c r="H854" s="40" t="s">
        <v>63</v>
      </c>
      <c r="I854" s="100"/>
    </row>
    <row r="855" spans="1:9" ht="21" customHeight="1" hidden="1">
      <c r="A855" s="37">
        <v>570</v>
      </c>
      <c r="B855" s="45" t="s">
        <v>146</v>
      </c>
      <c r="C855" s="46"/>
      <c r="D855" s="40"/>
      <c r="E855" s="40"/>
      <c r="F855" s="40"/>
      <c r="G855" s="42">
        <f>G854</f>
        <v>3477</v>
      </c>
      <c r="H855" s="51"/>
      <c r="I855" s="100"/>
    </row>
    <row r="856" spans="1:9" ht="60" customHeight="1">
      <c r="A856" s="37">
        <v>553</v>
      </c>
      <c r="B856" s="38" t="s">
        <v>405</v>
      </c>
      <c r="C856" s="54" t="s">
        <v>406</v>
      </c>
      <c r="D856" s="40" t="s">
        <v>149</v>
      </c>
      <c r="E856" s="41" t="s">
        <v>25</v>
      </c>
      <c r="F856" s="56">
        <v>1</v>
      </c>
      <c r="G856" s="42">
        <v>88950</v>
      </c>
      <c r="H856" s="40" t="s">
        <v>63</v>
      </c>
      <c r="I856" s="100"/>
    </row>
    <row r="857" spans="1:9" ht="21" customHeight="1" hidden="1">
      <c r="A857" s="37"/>
      <c r="B857" s="45" t="s">
        <v>150</v>
      </c>
      <c r="C857" s="46"/>
      <c r="D857" s="40"/>
      <c r="E857" s="40"/>
      <c r="F857" s="40"/>
      <c r="G857" s="42">
        <f>G856</f>
        <v>88950</v>
      </c>
      <c r="H857" s="51"/>
      <c r="I857" s="100"/>
    </row>
    <row r="858" spans="1:9" ht="32.25" customHeight="1" hidden="1">
      <c r="A858" s="102"/>
      <c r="B858" s="244"/>
      <c r="C858" s="244"/>
      <c r="D858" s="245"/>
      <c r="E858" s="245"/>
      <c r="F858" s="245"/>
      <c r="G858" s="104"/>
      <c r="H858" s="246"/>
      <c r="I858" s="223"/>
    </row>
    <row r="859" spans="1:9" ht="32.25" customHeight="1" hidden="1">
      <c r="A859" s="19"/>
      <c r="B859" s="208" t="s">
        <v>151</v>
      </c>
      <c r="C859" s="167"/>
      <c r="D859" s="168"/>
      <c r="E859" s="207"/>
      <c r="F859" s="170"/>
      <c r="G859" s="110"/>
      <c r="H859" s="171"/>
      <c r="I859" s="223"/>
    </row>
    <row r="860" spans="1:9" ht="32.25" customHeight="1" hidden="1">
      <c r="A860" s="19"/>
      <c r="B860" s="167" t="s">
        <v>693</v>
      </c>
      <c r="C860" s="167"/>
      <c r="D860" s="225" t="s">
        <v>153</v>
      </c>
      <c r="E860" s="226"/>
      <c r="F860" s="170"/>
      <c r="G860" s="110"/>
      <c r="H860" s="171"/>
      <c r="I860" s="223"/>
    </row>
    <row r="861" spans="1:9" ht="18.75" customHeight="1" hidden="1">
      <c r="A861" s="19"/>
      <c r="B861" s="167"/>
      <c r="C861" s="167"/>
      <c r="D861" s="227" t="s">
        <v>694</v>
      </c>
      <c r="E861" s="228" t="s">
        <v>692</v>
      </c>
      <c r="F861" s="170"/>
      <c r="G861" s="110"/>
      <c r="H861" s="171"/>
      <c r="I861" s="223"/>
    </row>
    <row r="862" spans="1:9" ht="32.25" customHeight="1" hidden="1">
      <c r="A862" s="19"/>
      <c r="B862" s="167" t="s">
        <v>156</v>
      </c>
      <c r="C862" s="167"/>
      <c r="D862" s="225" t="s">
        <v>157</v>
      </c>
      <c r="E862" s="226"/>
      <c r="F862" s="170"/>
      <c r="G862" s="110"/>
      <c r="H862" s="171"/>
      <c r="I862" s="223"/>
    </row>
    <row r="863" spans="1:9" ht="32.25" customHeight="1" hidden="1">
      <c r="A863" s="19"/>
      <c r="B863" s="167" t="s">
        <v>695</v>
      </c>
      <c r="C863" s="167"/>
      <c r="D863" s="168"/>
      <c r="E863" s="207"/>
      <c r="F863" s="170"/>
      <c r="G863" s="110"/>
      <c r="H863" s="171"/>
      <c r="I863" s="223"/>
    </row>
    <row r="864" spans="1:9" ht="32.25" customHeight="1" hidden="1">
      <c r="A864" s="19"/>
      <c r="B864" s="229" t="s">
        <v>159</v>
      </c>
      <c r="C864" s="167"/>
      <c r="D864" s="225" t="s">
        <v>160</v>
      </c>
      <c r="E864" s="226"/>
      <c r="F864" s="170"/>
      <c r="G864" s="110"/>
      <c r="H864" s="171"/>
      <c r="I864" s="223"/>
    </row>
    <row r="865" spans="1:9" ht="32.25" customHeight="1" hidden="1">
      <c r="A865" s="19"/>
      <c r="B865" s="230" t="s">
        <v>161</v>
      </c>
      <c r="C865" s="167"/>
      <c r="D865" s="168"/>
      <c r="E865" s="207"/>
      <c r="F865" s="170"/>
      <c r="G865" s="110"/>
      <c r="H865" s="171"/>
      <c r="I865" s="223"/>
    </row>
    <row r="866" spans="1:9" ht="32.25" customHeight="1" hidden="1">
      <c r="A866" s="19"/>
      <c r="B866" s="169"/>
      <c r="C866" s="169"/>
      <c r="D866" s="170"/>
      <c r="E866" s="170"/>
      <c r="F866" s="170"/>
      <c r="G866" s="110"/>
      <c r="H866" s="171"/>
      <c r="I866" s="223"/>
    </row>
    <row r="867" spans="1:9" ht="32.25" customHeight="1" hidden="1">
      <c r="A867" s="19"/>
      <c r="B867" s="19"/>
      <c r="C867" s="190"/>
      <c r="D867" s="187"/>
      <c r="E867" s="187"/>
      <c r="F867" s="209" t="s">
        <v>1</v>
      </c>
      <c r="G867" s="209"/>
      <c r="H867" s="8"/>
      <c r="I867" s="223"/>
    </row>
    <row r="868" spans="1:9" ht="32.25" customHeight="1" hidden="1">
      <c r="A868" s="19"/>
      <c r="B868" s="190" t="s">
        <v>687</v>
      </c>
      <c r="C868" s="8"/>
      <c r="D868" s="187"/>
      <c r="E868" s="187"/>
      <c r="F868" s="209"/>
      <c r="G868" s="209"/>
      <c r="H868" s="8"/>
      <c r="I868" s="223"/>
    </row>
    <row r="869" spans="1:9" ht="24.75" customHeight="1" hidden="1">
      <c r="A869" s="19"/>
      <c r="B869" s="167"/>
      <c r="C869" s="167"/>
      <c r="D869" s="168"/>
      <c r="E869" s="207"/>
      <c r="F869" s="207"/>
      <c r="G869" s="110"/>
      <c r="H869" s="8"/>
      <c r="I869" s="223"/>
    </row>
    <row r="870" spans="1:9" ht="32.25" customHeight="1" hidden="1">
      <c r="A870" s="191" t="s">
        <v>355</v>
      </c>
      <c r="B870" s="191"/>
      <c r="C870" s="191"/>
      <c r="D870" s="191"/>
      <c r="E870" s="191"/>
      <c r="F870" s="191"/>
      <c r="G870" s="191"/>
      <c r="H870" s="191"/>
      <c r="I870" s="191"/>
    </row>
    <row r="871" spans="1:9" ht="32.25" customHeight="1" hidden="1">
      <c r="A871" s="191"/>
      <c r="B871" s="191"/>
      <c r="C871" s="191"/>
      <c r="D871" s="191"/>
      <c r="E871" s="191"/>
      <c r="F871" s="191"/>
      <c r="G871" s="191"/>
      <c r="H871" s="191"/>
      <c r="I871" s="191"/>
    </row>
    <row r="872" spans="1:9" s="7" customFormat="1" ht="29.25" customHeight="1">
      <c r="A872" s="35" t="s">
        <v>678</v>
      </c>
      <c r="B872" s="173"/>
      <c r="C872" s="173"/>
      <c r="D872" s="173"/>
      <c r="E872" s="173"/>
      <c r="F872" s="173"/>
      <c r="G872" s="173"/>
      <c r="H872" s="173"/>
      <c r="I872" s="173"/>
    </row>
    <row r="873" spans="3:9" ht="12" customHeight="1" hidden="1">
      <c r="C873" s="124"/>
      <c r="D873" s="125" t="s">
        <v>4</v>
      </c>
      <c r="E873" s="124"/>
      <c r="F873" s="124"/>
      <c r="H873" s="16"/>
      <c r="I873" s="16"/>
    </row>
    <row r="874" ht="15.75" customHeight="1" hidden="1"/>
    <row r="875" spans="1:11" ht="15.75" customHeight="1" hidden="1">
      <c r="A875" s="26" t="s">
        <v>5</v>
      </c>
      <c r="B875" s="27" t="s">
        <v>6</v>
      </c>
      <c r="C875" s="28" t="s">
        <v>7</v>
      </c>
      <c r="D875" s="28" t="s">
        <v>249</v>
      </c>
      <c r="E875" s="28" t="s">
        <v>9</v>
      </c>
      <c r="F875" s="28" t="s">
        <v>10</v>
      </c>
      <c r="G875" s="128" t="s">
        <v>250</v>
      </c>
      <c r="H875" s="28" t="s">
        <v>251</v>
      </c>
      <c r="I875" s="28" t="s">
        <v>13</v>
      </c>
      <c r="J875" s="71"/>
      <c r="K875" s="71"/>
    </row>
    <row r="876" spans="1:9" ht="31.5" customHeight="1" hidden="1">
      <c r="A876" s="29"/>
      <c r="B876" s="30"/>
      <c r="C876" s="31"/>
      <c r="D876" s="31"/>
      <c r="E876" s="31"/>
      <c r="F876" s="31"/>
      <c r="G876" s="129"/>
      <c r="H876" s="31"/>
      <c r="I876" s="31"/>
    </row>
    <row r="877" spans="1:9" ht="54" customHeight="1" hidden="1">
      <c r="A877" s="32"/>
      <c r="B877" s="33"/>
      <c r="C877" s="34"/>
      <c r="D877" s="34"/>
      <c r="E877" s="34"/>
      <c r="F877" s="34"/>
      <c r="G877" s="130"/>
      <c r="H877" s="34"/>
      <c r="I877" s="34"/>
    </row>
    <row r="878" spans="1:14" ht="20.25" customHeight="1" hidden="1">
      <c r="A878" s="32">
        <v>1</v>
      </c>
      <c r="B878" s="33">
        <v>2</v>
      </c>
      <c r="C878" s="34">
        <v>3</v>
      </c>
      <c r="D878" s="34">
        <v>4</v>
      </c>
      <c r="E878" s="34">
        <v>5</v>
      </c>
      <c r="F878" s="34">
        <v>6</v>
      </c>
      <c r="G878" s="130">
        <v>7</v>
      </c>
      <c r="H878" s="34">
        <v>8</v>
      </c>
      <c r="I878" s="72">
        <v>9</v>
      </c>
      <c r="N878" s="12" t="s">
        <v>298</v>
      </c>
    </row>
    <row r="879" spans="1:12" ht="30" customHeight="1">
      <c r="A879" s="37">
        <v>554</v>
      </c>
      <c r="B879" s="38" t="s">
        <v>356</v>
      </c>
      <c r="C879" s="247" t="s">
        <v>16</v>
      </c>
      <c r="D879" s="40" t="s">
        <v>17</v>
      </c>
      <c r="E879" s="41" t="s">
        <v>18</v>
      </c>
      <c r="F879" s="41">
        <v>5</v>
      </c>
      <c r="G879" s="42">
        <v>1050</v>
      </c>
      <c r="H879" s="51" t="s">
        <v>19</v>
      </c>
      <c r="I879" s="224" t="s">
        <v>253</v>
      </c>
      <c r="J879" s="12">
        <v>55</v>
      </c>
      <c r="K879" s="12">
        <v>2058</v>
      </c>
      <c r="L879" s="74">
        <f aca="true" t="shared" si="12" ref="L879:L885">G879-K879</f>
        <v>-1008</v>
      </c>
    </row>
    <row r="880" spans="1:14" ht="60" customHeight="1">
      <c r="A880" s="37">
        <v>555</v>
      </c>
      <c r="B880" s="38" t="s">
        <v>357</v>
      </c>
      <c r="C880" s="96" t="s">
        <v>16</v>
      </c>
      <c r="D880" s="40" t="s">
        <v>17</v>
      </c>
      <c r="E880" s="41" t="s">
        <v>22</v>
      </c>
      <c r="F880" s="41">
        <v>3</v>
      </c>
      <c r="G880" s="42">
        <v>1107.63</v>
      </c>
      <c r="H880" s="51" t="s">
        <v>19</v>
      </c>
      <c r="I880" s="224"/>
      <c r="J880" s="12">
        <v>6</v>
      </c>
      <c r="K880" s="12">
        <v>1560</v>
      </c>
      <c r="L880" s="74">
        <f t="shared" si="12"/>
        <v>-452.3699999999999</v>
      </c>
      <c r="M880" s="12">
        <v>4</v>
      </c>
      <c r="N880" s="12">
        <v>1040</v>
      </c>
    </row>
    <row r="881" spans="1:14" ht="30" customHeight="1">
      <c r="A881" s="37">
        <v>556</v>
      </c>
      <c r="B881" s="38" t="s">
        <v>358</v>
      </c>
      <c r="C881" s="40" t="s">
        <v>27</v>
      </c>
      <c r="D881" s="40" t="s">
        <v>17</v>
      </c>
      <c r="E881" s="41" t="s">
        <v>25</v>
      </c>
      <c r="F881" s="41">
        <v>10</v>
      </c>
      <c r="G881" s="42">
        <v>593.5</v>
      </c>
      <c r="H881" s="51" t="s">
        <v>19</v>
      </c>
      <c r="I881" s="224"/>
      <c r="J881" s="12">
        <v>2</v>
      </c>
      <c r="K881" s="12">
        <f>347.3</f>
        <v>347.3</v>
      </c>
      <c r="L881" s="74">
        <f t="shared" si="12"/>
        <v>246.2</v>
      </c>
      <c r="M881" s="12">
        <v>1</v>
      </c>
      <c r="N881" s="12">
        <v>173.65</v>
      </c>
    </row>
    <row r="882" spans="1:12" ht="30" customHeight="1">
      <c r="A882" s="37">
        <v>557</v>
      </c>
      <c r="B882" s="38" t="s">
        <v>359</v>
      </c>
      <c r="C882" s="40" t="s">
        <v>27</v>
      </c>
      <c r="D882" s="40" t="s">
        <v>17</v>
      </c>
      <c r="E882" s="41" t="s">
        <v>25</v>
      </c>
      <c r="F882" s="41">
        <v>1</v>
      </c>
      <c r="G882" s="42">
        <v>176.38</v>
      </c>
      <c r="H882" s="51" t="s">
        <v>19</v>
      </c>
      <c r="I882" s="224"/>
      <c r="J882" s="12">
        <v>150</v>
      </c>
      <c r="K882" s="12">
        <v>7905</v>
      </c>
      <c r="L882" s="74">
        <f t="shared" si="12"/>
        <v>-7728.62</v>
      </c>
    </row>
    <row r="883" spans="1:14" ht="30" customHeight="1">
      <c r="A883" s="37">
        <v>558</v>
      </c>
      <c r="B883" s="38" t="s">
        <v>335</v>
      </c>
      <c r="C883" s="248" t="s">
        <v>260</v>
      </c>
      <c r="D883" s="40" t="s">
        <v>17</v>
      </c>
      <c r="E883" s="41" t="s">
        <v>25</v>
      </c>
      <c r="F883" s="41">
        <v>2</v>
      </c>
      <c r="G883" s="42">
        <v>7000</v>
      </c>
      <c r="H883" s="51" t="s">
        <v>19</v>
      </c>
      <c r="I883" s="224"/>
      <c r="L883" s="74">
        <f t="shared" si="12"/>
        <v>7000</v>
      </c>
      <c r="M883" s="12">
        <v>75</v>
      </c>
      <c r="N883" s="12">
        <v>2486.25</v>
      </c>
    </row>
    <row r="884" spans="1:12" ht="60" customHeight="1">
      <c r="A884" s="37">
        <v>559</v>
      </c>
      <c r="B884" s="38" t="s">
        <v>360</v>
      </c>
      <c r="C884" s="40" t="s">
        <v>47</v>
      </c>
      <c r="D884" s="40" t="s">
        <v>17</v>
      </c>
      <c r="E884" s="41" t="s">
        <v>25</v>
      </c>
      <c r="F884" s="41">
        <v>1</v>
      </c>
      <c r="G884" s="42">
        <v>432</v>
      </c>
      <c r="H884" s="51" t="s">
        <v>19</v>
      </c>
      <c r="I884" s="224"/>
      <c r="J884" s="12">
        <v>150</v>
      </c>
      <c r="K884" s="12">
        <v>3400.5</v>
      </c>
      <c r="L884" s="74">
        <f t="shared" si="12"/>
        <v>-2968.5</v>
      </c>
    </row>
    <row r="885" spans="1:12" ht="30" customHeight="1">
      <c r="A885" s="37">
        <v>560</v>
      </c>
      <c r="B885" s="38" t="s">
        <v>361</v>
      </c>
      <c r="C885" s="96" t="s">
        <v>44</v>
      </c>
      <c r="D885" s="40" t="s">
        <v>17</v>
      </c>
      <c r="E885" s="41" t="s">
        <v>25</v>
      </c>
      <c r="F885" s="41">
        <v>1</v>
      </c>
      <c r="G885" s="42">
        <v>227.5</v>
      </c>
      <c r="H885" s="51" t="s">
        <v>19</v>
      </c>
      <c r="I885" s="224"/>
      <c r="L885" s="74">
        <f t="shared" si="12"/>
        <v>227.5</v>
      </c>
    </row>
    <row r="886" spans="1:11" ht="30" customHeight="1">
      <c r="A886" s="37">
        <v>561</v>
      </c>
      <c r="B886" s="38" t="s">
        <v>362</v>
      </c>
      <c r="C886" s="40" t="s">
        <v>179</v>
      </c>
      <c r="D886" s="40" t="s">
        <v>17</v>
      </c>
      <c r="E886" s="41" t="s">
        <v>25</v>
      </c>
      <c r="F886" s="41">
        <v>3</v>
      </c>
      <c r="G886" s="42">
        <v>507.15</v>
      </c>
      <c r="H886" s="51" t="s">
        <v>19</v>
      </c>
      <c r="I886" s="224"/>
      <c r="K886" s="12">
        <v>334</v>
      </c>
    </row>
    <row r="887" spans="1:14" ht="30" customHeight="1">
      <c r="A887" s="37">
        <v>562</v>
      </c>
      <c r="B887" s="38" t="s">
        <v>363</v>
      </c>
      <c r="C887" s="96" t="s">
        <v>40</v>
      </c>
      <c r="D887" s="40" t="s">
        <v>17</v>
      </c>
      <c r="E887" s="41" t="s">
        <v>25</v>
      </c>
      <c r="F887" s="41">
        <v>2</v>
      </c>
      <c r="G887" s="42">
        <v>415.9</v>
      </c>
      <c r="H887" s="51" t="s">
        <v>19</v>
      </c>
      <c r="I887" s="224"/>
      <c r="K887" s="12">
        <f>SUM(K879:K886)</f>
        <v>15604.8</v>
      </c>
      <c r="L887" s="12">
        <f>SUM(L879:L885)</f>
        <v>-4683.789999999999</v>
      </c>
      <c r="M887" s="12">
        <f>334+22960.8</f>
        <v>23294.8</v>
      </c>
      <c r="N887" s="12">
        <f>K887-M887</f>
        <v>-7690</v>
      </c>
    </row>
    <row r="888" spans="1:9" ht="30" customHeight="1">
      <c r="A888" s="37">
        <v>563</v>
      </c>
      <c r="B888" s="38" t="s">
        <v>364</v>
      </c>
      <c r="C888" s="40" t="s">
        <v>24</v>
      </c>
      <c r="D888" s="40" t="s">
        <v>17</v>
      </c>
      <c r="E888" s="41" t="s">
        <v>25</v>
      </c>
      <c r="F888" s="41">
        <v>1</v>
      </c>
      <c r="G888" s="42">
        <v>180</v>
      </c>
      <c r="H888" s="51" t="s">
        <v>19</v>
      </c>
      <c r="I888" s="224"/>
    </row>
    <row r="889" spans="1:12" ht="30" customHeight="1">
      <c r="A889" s="37">
        <v>564</v>
      </c>
      <c r="B889" s="38" t="s">
        <v>365</v>
      </c>
      <c r="C889" s="40" t="s">
        <v>24</v>
      </c>
      <c r="D889" s="40" t="s">
        <v>17</v>
      </c>
      <c r="E889" s="41" t="s">
        <v>25</v>
      </c>
      <c r="F889" s="41">
        <v>2</v>
      </c>
      <c r="G889" s="42">
        <v>140.74</v>
      </c>
      <c r="H889" s="51" t="s">
        <v>19</v>
      </c>
      <c r="I889" s="224"/>
      <c r="K889" s="12">
        <v>93.14</v>
      </c>
      <c r="L889" s="74" t="e">
        <f>#REF!-K889</f>
        <v>#REF!</v>
      </c>
    </row>
    <row r="890" spans="1:12" ht="30" customHeight="1">
      <c r="A890" s="37">
        <v>565</v>
      </c>
      <c r="B890" s="38" t="s">
        <v>366</v>
      </c>
      <c r="C890" s="40" t="s">
        <v>44</v>
      </c>
      <c r="D890" s="40" t="s">
        <v>17</v>
      </c>
      <c r="E890" s="41" t="s">
        <v>25</v>
      </c>
      <c r="F890" s="41">
        <v>1</v>
      </c>
      <c r="G890" s="42">
        <v>97</v>
      </c>
      <c r="H890" s="51" t="s">
        <v>19</v>
      </c>
      <c r="I890" s="224"/>
      <c r="K890" s="12">
        <f>1244.83+1112.72</f>
        <v>2357.55</v>
      </c>
      <c r="L890" s="74" t="e">
        <f>#REF!-K890</f>
        <v>#REF!</v>
      </c>
    </row>
    <row r="891" spans="1:12" ht="30" customHeight="1">
      <c r="A891" s="37">
        <v>566</v>
      </c>
      <c r="B891" s="38" t="s">
        <v>367</v>
      </c>
      <c r="C891" s="96" t="s">
        <v>44</v>
      </c>
      <c r="D891" s="40" t="s">
        <v>17</v>
      </c>
      <c r="E891" s="41" t="s">
        <v>25</v>
      </c>
      <c r="F891" s="41">
        <v>2</v>
      </c>
      <c r="G891" s="42">
        <v>1104</v>
      </c>
      <c r="H891" s="51" t="s">
        <v>19</v>
      </c>
      <c r="I891" s="224"/>
      <c r="K891" s="12">
        <f>72</f>
        <v>72</v>
      </c>
      <c r="L891" s="74" t="e">
        <f>#REF!-K891</f>
        <v>#REF!</v>
      </c>
    </row>
    <row r="892" spans="1:12" ht="30" customHeight="1">
      <c r="A892" s="37">
        <v>567</v>
      </c>
      <c r="B892" s="38" t="s">
        <v>368</v>
      </c>
      <c r="C892" s="40" t="s">
        <v>42</v>
      </c>
      <c r="D892" s="40" t="s">
        <v>17</v>
      </c>
      <c r="E892" s="41" t="s">
        <v>25</v>
      </c>
      <c r="F892" s="41">
        <v>2</v>
      </c>
      <c r="G892" s="42">
        <v>304</v>
      </c>
      <c r="H892" s="51" t="s">
        <v>19</v>
      </c>
      <c r="I892" s="224"/>
      <c r="J892" s="12">
        <v>1</v>
      </c>
      <c r="K892" s="12">
        <v>204</v>
      </c>
      <c r="L892" s="74" t="e">
        <f>#REF!-K892</f>
        <v>#REF!</v>
      </c>
    </row>
    <row r="893" spans="1:12" ht="30" customHeight="1">
      <c r="A893" s="37">
        <v>568</v>
      </c>
      <c r="B893" s="38" t="s">
        <v>369</v>
      </c>
      <c r="C893" s="40" t="s">
        <v>40</v>
      </c>
      <c r="D893" s="40" t="s">
        <v>17</v>
      </c>
      <c r="E893" s="41" t="s">
        <v>25</v>
      </c>
      <c r="F893" s="41">
        <v>2</v>
      </c>
      <c r="G893" s="42">
        <v>166.14</v>
      </c>
      <c r="H893" s="51" t="s">
        <v>19</v>
      </c>
      <c r="I893" s="224"/>
      <c r="K893" s="12">
        <v>2214.94</v>
      </c>
      <c r="L893" s="74" t="e">
        <f>#REF!-K893</f>
        <v>#REF!</v>
      </c>
    </row>
    <row r="894" spans="1:12" ht="30" customHeight="1">
      <c r="A894" s="37">
        <v>569</v>
      </c>
      <c r="B894" s="38" t="s">
        <v>370</v>
      </c>
      <c r="C894" s="40" t="s">
        <v>371</v>
      </c>
      <c r="D894" s="40" t="s">
        <v>17</v>
      </c>
      <c r="E894" s="41" t="s">
        <v>25</v>
      </c>
      <c r="F894" s="41">
        <v>2</v>
      </c>
      <c r="G894" s="42">
        <v>1026.66</v>
      </c>
      <c r="H894" s="51" t="s">
        <v>19</v>
      </c>
      <c r="I894" s="224"/>
      <c r="K894" s="12">
        <v>490</v>
      </c>
      <c r="L894" s="74" t="e">
        <f>#REF!-K894</f>
        <v>#REF!</v>
      </c>
    </row>
    <row r="895" spans="1:12" ht="30" customHeight="1">
      <c r="A895" s="37">
        <v>570</v>
      </c>
      <c r="B895" s="38" t="s">
        <v>372</v>
      </c>
      <c r="C895" s="40" t="s">
        <v>56</v>
      </c>
      <c r="D895" s="40" t="s">
        <v>17</v>
      </c>
      <c r="E895" s="41" t="s">
        <v>25</v>
      </c>
      <c r="F895" s="41">
        <v>1</v>
      </c>
      <c r="G895" s="42">
        <v>8850</v>
      </c>
      <c r="H895" s="51" t="s">
        <v>19</v>
      </c>
      <c r="I895" s="224"/>
      <c r="K895" s="12">
        <f>498.04+498.04</f>
        <v>996.08</v>
      </c>
      <c r="L895" s="74" t="e">
        <f>#REF!-K895</f>
        <v>#REF!</v>
      </c>
    </row>
    <row r="896" spans="1:12" ht="30" customHeight="1">
      <c r="A896" s="37">
        <v>571</v>
      </c>
      <c r="B896" s="38" t="s">
        <v>373</v>
      </c>
      <c r="C896" s="96" t="s">
        <v>52</v>
      </c>
      <c r="D896" s="40" t="s">
        <v>17</v>
      </c>
      <c r="E896" s="41" t="s">
        <v>25</v>
      </c>
      <c r="F896" s="41">
        <v>42</v>
      </c>
      <c r="G896" s="42">
        <v>781.2</v>
      </c>
      <c r="H896" s="51" t="s">
        <v>19</v>
      </c>
      <c r="I896" s="224"/>
      <c r="K896" s="12">
        <f>280+560+504</f>
        <v>1344</v>
      </c>
      <c r="L896" s="74">
        <f>G901-K896</f>
        <v>31116</v>
      </c>
    </row>
    <row r="897" spans="1:12" ht="45" customHeight="1">
      <c r="A897" s="37">
        <v>572</v>
      </c>
      <c r="B897" s="38" t="s">
        <v>331</v>
      </c>
      <c r="C897" s="96" t="s">
        <v>332</v>
      </c>
      <c r="D897" s="40" t="s">
        <v>17</v>
      </c>
      <c r="E897" s="41" t="s">
        <v>25</v>
      </c>
      <c r="F897" s="41">
        <v>1</v>
      </c>
      <c r="G897" s="42">
        <v>2200</v>
      </c>
      <c r="H897" s="51" t="s">
        <v>19</v>
      </c>
      <c r="I897" s="224"/>
      <c r="K897" s="12">
        <f>700+620</f>
        <v>1320</v>
      </c>
      <c r="L897" s="74" t="e">
        <f>#REF!-K897</f>
        <v>#REF!</v>
      </c>
    </row>
    <row r="898" spans="1:12" ht="30" customHeight="1">
      <c r="A898" s="37">
        <v>573</v>
      </c>
      <c r="B898" s="38" t="s">
        <v>374</v>
      </c>
      <c r="C898" s="96" t="s">
        <v>375</v>
      </c>
      <c r="D898" s="40" t="s">
        <v>17</v>
      </c>
      <c r="E898" s="41" t="s">
        <v>25</v>
      </c>
      <c r="F898" s="41">
        <v>60</v>
      </c>
      <c r="G898" s="42">
        <v>2400</v>
      </c>
      <c r="H898" s="51" t="s">
        <v>19</v>
      </c>
      <c r="I898" s="224"/>
      <c r="K898" s="74">
        <f>SUM(K888:K897)</f>
        <v>9091.71</v>
      </c>
      <c r="L898" s="74" t="e">
        <f>SUM(L889:L897)</f>
        <v>#REF!</v>
      </c>
    </row>
    <row r="899" spans="1:10" ht="30" customHeight="1">
      <c r="A899" s="37">
        <v>574</v>
      </c>
      <c r="B899" s="38" t="s">
        <v>376</v>
      </c>
      <c r="C899" s="40" t="s">
        <v>44</v>
      </c>
      <c r="D899" s="40" t="s">
        <v>17</v>
      </c>
      <c r="E899" s="41" t="s">
        <v>25</v>
      </c>
      <c r="F899" s="41">
        <v>1</v>
      </c>
      <c r="G899" s="42">
        <v>1200</v>
      </c>
      <c r="H899" s="51" t="s">
        <v>19</v>
      </c>
      <c r="I899" s="224"/>
      <c r="J899" s="251"/>
    </row>
    <row r="900" spans="1:12" ht="33" customHeight="1">
      <c r="A900" s="37">
        <v>575</v>
      </c>
      <c r="B900" s="38" t="s">
        <v>57</v>
      </c>
      <c r="C900" s="40" t="s">
        <v>58</v>
      </c>
      <c r="D900" s="40" t="s">
        <v>17</v>
      </c>
      <c r="E900" s="41" t="s">
        <v>25</v>
      </c>
      <c r="F900" s="41">
        <v>1</v>
      </c>
      <c r="G900" s="42">
        <v>2500.2</v>
      </c>
      <c r="H900" s="155" t="s">
        <v>19</v>
      </c>
      <c r="I900" s="224"/>
      <c r="L900" s="74"/>
    </row>
    <row r="901" spans="1:14" ht="32.25" customHeight="1" hidden="1">
      <c r="A901" s="37"/>
      <c r="B901" s="86" t="s">
        <v>59</v>
      </c>
      <c r="C901" s="46"/>
      <c r="D901" s="40"/>
      <c r="E901" s="41"/>
      <c r="F901" s="41"/>
      <c r="G901" s="42">
        <f>SUM(G879:G900)</f>
        <v>32460</v>
      </c>
      <c r="H901" s="51"/>
      <c r="I901" s="224"/>
      <c r="K901" s="12">
        <f>SUM(K879:K900)</f>
        <v>49393.020000000004</v>
      </c>
      <c r="L901" s="12" t="e">
        <f>SUM(L879:L900)</f>
        <v>#REF!</v>
      </c>
      <c r="N901" s="12">
        <f>K901-M901</f>
        <v>49393.020000000004</v>
      </c>
    </row>
    <row r="902" spans="1:9" ht="30" customHeight="1">
      <c r="A902" s="37">
        <v>576</v>
      </c>
      <c r="B902" s="38" t="s">
        <v>218</v>
      </c>
      <c r="C902" s="43" t="s">
        <v>219</v>
      </c>
      <c r="D902" s="40" t="s">
        <v>62</v>
      </c>
      <c r="E902" s="41" t="s">
        <v>34</v>
      </c>
      <c r="F902" s="69">
        <v>2</v>
      </c>
      <c r="G902" s="42">
        <v>45.6</v>
      </c>
      <c r="H902" s="51" t="s">
        <v>63</v>
      </c>
      <c r="I902" s="224"/>
    </row>
    <row r="903" spans="1:9" ht="30" customHeight="1">
      <c r="A903" s="37">
        <v>577</v>
      </c>
      <c r="B903" s="38" t="s">
        <v>216</v>
      </c>
      <c r="C903" s="40" t="s">
        <v>217</v>
      </c>
      <c r="D903" s="40" t="s">
        <v>62</v>
      </c>
      <c r="E903" s="41" t="s">
        <v>34</v>
      </c>
      <c r="F903" s="69">
        <v>50</v>
      </c>
      <c r="G903" s="42">
        <v>954</v>
      </c>
      <c r="H903" s="51" t="s">
        <v>63</v>
      </c>
      <c r="I903" s="224"/>
    </row>
    <row r="904" spans="1:9" ht="30" customHeight="1">
      <c r="A904" s="37">
        <v>578</v>
      </c>
      <c r="B904" s="38" t="s">
        <v>64</v>
      </c>
      <c r="C904" s="40" t="s">
        <v>65</v>
      </c>
      <c r="D904" s="40" t="s">
        <v>62</v>
      </c>
      <c r="E904" s="41" t="s">
        <v>34</v>
      </c>
      <c r="F904" s="69">
        <v>250</v>
      </c>
      <c r="G904" s="42">
        <v>4256</v>
      </c>
      <c r="H904" s="51" t="s">
        <v>63</v>
      </c>
      <c r="I904" s="224"/>
    </row>
    <row r="905" spans="1:9" ht="30" customHeight="1">
      <c r="A905" s="37">
        <v>579</v>
      </c>
      <c r="B905" s="38" t="s">
        <v>71</v>
      </c>
      <c r="C905" s="71" t="s">
        <v>72</v>
      </c>
      <c r="D905" s="40" t="s">
        <v>62</v>
      </c>
      <c r="E905" s="41" t="s">
        <v>34</v>
      </c>
      <c r="F905" s="69">
        <v>20</v>
      </c>
      <c r="G905" s="42">
        <v>317.9</v>
      </c>
      <c r="H905" s="51" t="s">
        <v>63</v>
      </c>
      <c r="I905" s="224"/>
    </row>
    <row r="906" spans="1:9" ht="45" customHeight="1">
      <c r="A906" s="37">
        <v>580</v>
      </c>
      <c r="B906" s="38" t="s">
        <v>73</v>
      </c>
      <c r="C906" s="40" t="s">
        <v>74</v>
      </c>
      <c r="D906" s="40" t="s">
        <v>62</v>
      </c>
      <c r="E906" s="41" t="s">
        <v>34</v>
      </c>
      <c r="F906" s="69">
        <v>40</v>
      </c>
      <c r="G906" s="42">
        <v>934</v>
      </c>
      <c r="H906" s="51" t="s">
        <v>63</v>
      </c>
      <c r="I906" s="224"/>
    </row>
    <row r="907" spans="1:9" ht="30" customHeight="1">
      <c r="A907" s="37">
        <v>581</v>
      </c>
      <c r="B907" s="38" t="s">
        <v>75</v>
      </c>
      <c r="C907" s="71" t="s">
        <v>76</v>
      </c>
      <c r="D907" s="40" t="s">
        <v>62</v>
      </c>
      <c r="E907" s="41" t="s">
        <v>77</v>
      </c>
      <c r="F907" s="69">
        <v>22</v>
      </c>
      <c r="G907" s="42">
        <v>1651.9</v>
      </c>
      <c r="H907" s="51" t="s">
        <v>63</v>
      </c>
      <c r="I907" s="224"/>
    </row>
    <row r="908" spans="1:9" ht="30" customHeight="1">
      <c r="A908" s="37">
        <v>582</v>
      </c>
      <c r="B908" s="38" t="s">
        <v>78</v>
      </c>
      <c r="C908" s="40" t="s">
        <v>79</v>
      </c>
      <c r="D908" s="40" t="s">
        <v>62</v>
      </c>
      <c r="E908" s="41" t="s">
        <v>34</v>
      </c>
      <c r="F908" s="69">
        <v>21</v>
      </c>
      <c r="G908" s="42">
        <v>6464.1</v>
      </c>
      <c r="H908" s="51" t="s">
        <v>63</v>
      </c>
      <c r="I908" s="224"/>
    </row>
    <row r="909" spans="1:9" ht="45" customHeight="1">
      <c r="A909" s="37">
        <v>583</v>
      </c>
      <c r="B909" s="38" t="s">
        <v>80</v>
      </c>
      <c r="C909" s="40" t="s">
        <v>81</v>
      </c>
      <c r="D909" s="40" t="s">
        <v>62</v>
      </c>
      <c r="E909" s="41" t="s">
        <v>82</v>
      </c>
      <c r="F909" s="69">
        <v>20.7</v>
      </c>
      <c r="G909" s="42">
        <v>841.14</v>
      </c>
      <c r="H909" s="51" t="s">
        <v>63</v>
      </c>
      <c r="I909" s="224"/>
    </row>
    <row r="910" spans="1:9" ht="30" customHeight="1">
      <c r="A910" s="37">
        <v>584</v>
      </c>
      <c r="B910" s="38" t="s">
        <v>83</v>
      </c>
      <c r="C910" s="40" t="s">
        <v>72</v>
      </c>
      <c r="D910" s="40" t="s">
        <v>62</v>
      </c>
      <c r="E910" s="41" t="s">
        <v>34</v>
      </c>
      <c r="F910" s="69">
        <v>25</v>
      </c>
      <c r="G910" s="42">
        <v>645.9</v>
      </c>
      <c r="H910" s="51" t="s">
        <v>63</v>
      </c>
      <c r="I910" s="224"/>
    </row>
    <row r="911" spans="1:9" ht="30" customHeight="1">
      <c r="A911" s="37">
        <v>585</v>
      </c>
      <c r="B911" s="38" t="s">
        <v>220</v>
      </c>
      <c r="C911" s="40" t="s">
        <v>221</v>
      </c>
      <c r="D911" s="40" t="s">
        <v>62</v>
      </c>
      <c r="E911" s="41" t="s">
        <v>34</v>
      </c>
      <c r="F911" s="69">
        <v>5</v>
      </c>
      <c r="G911" s="42">
        <v>65.5</v>
      </c>
      <c r="H911" s="51" t="s">
        <v>63</v>
      </c>
      <c r="I911" s="224"/>
    </row>
    <row r="912" spans="1:9" ht="45" customHeight="1">
      <c r="A912" s="37">
        <v>586</v>
      </c>
      <c r="B912" s="38" t="s">
        <v>84</v>
      </c>
      <c r="C912" s="40" t="s">
        <v>85</v>
      </c>
      <c r="D912" s="40" t="s">
        <v>62</v>
      </c>
      <c r="E912" s="41" t="s">
        <v>34</v>
      </c>
      <c r="F912" s="69">
        <v>6</v>
      </c>
      <c r="G912" s="42">
        <v>700.2</v>
      </c>
      <c r="H912" s="51" t="s">
        <v>63</v>
      </c>
      <c r="I912" s="224"/>
    </row>
    <row r="913" spans="1:9" ht="30" customHeight="1">
      <c r="A913" s="37">
        <v>587</v>
      </c>
      <c r="B913" s="38" t="s">
        <v>665</v>
      </c>
      <c r="C913" s="40" t="s">
        <v>666</v>
      </c>
      <c r="D913" s="40" t="s">
        <v>62</v>
      </c>
      <c r="E913" s="41" t="s">
        <v>34</v>
      </c>
      <c r="F913" s="69">
        <v>35</v>
      </c>
      <c r="G913" s="42">
        <v>4594.32</v>
      </c>
      <c r="H913" s="51" t="s">
        <v>63</v>
      </c>
      <c r="I913" s="224"/>
    </row>
    <row r="914" spans="1:9" ht="30" customHeight="1">
      <c r="A914" s="37">
        <v>588</v>
      </c>
      <c r="B914" s="38" t="s">
        <v>88</v>
      </c>
      <c r="C914" s="40" t="s">
        <v>85</v>
      </c>
      <c r="D914" s="40" t="s">
        <v>62</v>
      </c>
      <c r="E914" s="41" t="s">
        <v>34</v>
      </c>
      <c r="F914" s="69">
        <v>15</v>
      </c>
      <c r="G914" s="42">
        <v>1862.5</v>
      </c>
      <c r="H914" s="51" t="s">
        <v>63</v>
      </c>
      <c r="I914" s="224"/>
    </row>
    <row r="915" spans="1:9" ht="30" customHeight="1">
      <c r="A915" s="37">
        <v>589</v>
      </c>
      <c r="B915" s="38" t="s">
        <v>89</v>
      </c>
      <c r="C915" s="40" t="s">
        <v>90</v>
      </c>
      <c r="D915" s="40" t="s">
        <v>62</v>
      </c>
      <c r="E915" s="41" t="s">
        <v>34</v>
      </c>
      <c r="F915" s="69">
        <v>22</v>
      </c>
      <c r="G915" s="42">
        <v>1090.4</v>
      </c>
      <c r="H915" s="51" t="s">
        <v>63</v>
      </c>
      <c r="I915" s="224"/>
    </row>
    <row r="916" spans="1:9" ht="30" customHeight="1">
      <c r="A916" s="37">
        <v>590</v>
      </c>
      <c r="B916" s="38" t="s">
        <v>91</v>
      </c>
      <c r="C916" s="40" t="s">
        <v>92</v>
      </c>
      <c r="D916" s="40" t="s">
        <v>62</v>
      </c>
      <c r="E916" s="41" t="s">
        <v>34</v>
      </c>
      <c r="F916" s="69">
        <v>49</v>
      </c>
      <c r="G916" s="42">
        <v>8191.8</v>
      </c>
      <c r="H916" s="51" t="s">
        <v>63</v>
      </c>
      <c r="I916" s="224"/>
    </row>
    <row r="917" spans="1:9" ht="30" customHeight="1">
      <c r="A917" s="37">
        <v>591</v>
      </c>
      <c r="B917" s="38" t="s">
        <v>222</v>
      </c>
      <c r="C917" s="40" t="s">
        <v>223</v>
      </c>
      <c r="D917" s="40" t="s">
        <v>62</v>
      </c>
      <c r="E917" s="41" t="s">
        <v>34</v>
      </c>
      <c r="F917" s="69">
        <v>15</v>
      </c>
      <c r="G917" s="42">
        <v>292</v>
      </c>
      <c r="H917" s="51" t="s">
        <v>63</v>
      </c>
      <c r="I917" s="224"/>
    </row>
    <row r="918" spans="1:9" ht="30" customHeight="1">
      <c r="A918" s="37">
        <v>592</v>
      </c>
      <c r="B918" s="38" t="s">
        <v>274</v>
      </c>
      <c r="C918" s="40" t="s">
        <v>275</v>
      </c>
      <c r="D918" s="40" t="s">
        <v>62</v>
      </c>
      <c r="E918" s="41" t="s">
        <v>34</v>
      </c>
      <c r="F918" s="69">
        <v>50</v>
      </c>
      <c r="G918" s="42">
        <v>1800</v>
      </c>
      <c r="H918" s="51" t="s">
        <v>63</v>
      </c>
      <c r="I918" s="224"/>
    </row>
    <row r="919" spans="1:9" ht="30" customHeight="1">
      <c r="A919" s="37">
        <v>593</v>
      </c>
      <c r="B919" s="38" t="s">
        <v>224</v>
      </c>
      <c r="C919" s="40" t="s">
        <v>225</v>
      </c>
      <c r="D919" s="40" t="s">
        <v>62</v>
      </c>
      <c r="E919" s="41" t="s">
        <v>34</v>
      </c>
      <c r="F919" s="69">
        <v>10</v>
      </c>
      <c r="G919" s="42">
        <v>125.8</v>
      </c>
      <c r="H919" s="51" t="s">
        <v>63</v>
      </c>
      <c r="I919" s="224"/>
    </row>
    <row r="920" spans="1:9" ht="30" customHeight="1">
      <c r="A920" s="37">
        <v>594</v>
      </c>
      <c r="B920" s="40" t="s">
        <v>226</v>
      </c>
      <c r="C920" s="40" t="s">
        <v>227</v>
      </c>
      <c r="D920" s="40" t="s">
        <v>62</v>
      </c>
      <c r="E920" s="41" t="s">
        <v>34</v>
      </c>
      <c r="F920" s="69">
        <v>5</v>
      </c>
      <c r="G920" s="42">
        <v>687.5</v>
      </c>
      <c r="H920" s="51" t="s">
        <v>63</v>
      </c>
      <c r="I920" s="224"/>
    </row>
    <row r="921" spans="1:9" ht="30" customHeight="1">
      <c r="A921" s="37">
        <v>595</v>
      </c>
      <c r="B921" s="40" t="s">
        <v>276</v>
      </c>
      <c r="C921" s="40" t="s">
        <v>277</v>
      </c>
      <c r="D921" s="40" t="s">
        <v>62</v>
      </c>
      <c r="E921" s="41" t="s">
        <v>34</v>
      </c>
      <c r="F921" s="69">
        <v>2</v>
      </c>
      <c r="G921" s="42">
        <v>365.4</v>
      </c>
      <c r="H921" s="51" t="s">
        <v>63</v>
      </c>
      <c r="I921" s="224"/>
    </row>
    <row r="922" spans="1:9" ht="30" customHeight="1">
      <c r="A922" s="37">
        <v>596</v>
      </c>
      <c r="B922" s="40" t="s">
        <v>95</v>
      </c>
      <c r="C922" s="40" t="s">
        <v>96</v>
      </c>
      <c r="D922" s="40" t="s">
        <v>62</v>
      </c>
      <c r="E922" s="41" t="s">
        <v>34</v>
      </c>
      <c r="F922" s="69">
        <v>20</v>
      </c>
      <c r="G922" s="42">
        <v>4103.5</v>
      </c>
      <c r="H922" s="51" t="s">
        <v>63</v>
      </c>
      <c r="I922" s="224"/>
    </row>
    <row r="923" spans="1:9" ht="30" customHeight="1">
      <c r="A923" s="37">
        <v>597</v>
      </c>
      <c r="B923" s="40" t="s">
        <v>667</v>
      </c>
      <c r="C923" s="40" t="s">
        <v>668</v>
      </c>
      <c r="D923" s="40" t="s">
        <v>62</v>
      </c>
      <c r="E923" s="41" t="s">
        <v>34</v>
      </c>
      <c r="F923" s="69">
        <f>63</f>
        <v>63</v>
      </c>
      <c r="G923" s="42">
        <v>14240</v>
      </c>
      <c r="H923" s="51" t="s">
        <v>63</v>
      </c>
      <c r="I923" s="224"/>
    </row>
    <row r="924" spans="1:9" ht="45" customHeight="1">
      <c r="A924" s="37">
        <v>598</v>
      </c>
      <c r="B924" s="54" t="s">
        <v>98</v>
      </c>
      <c r="C924" s="40" t="s">
        <v>61</v>
      </c>
      <c r="D924" s="40" t="s">
        <v>62</v>
      </c>
      <c r="E924" s="41" t="s">
        <v>25</v>
      </c>
      <c r="F924" s="69">
        <v>273</v>
      </c>
      <c r="G924" s="42">
        <v>3499.62</v>
      </c>
      <c r="H924" s="51" t="s">
        <v>63</v>
      </c>
      <c r="I924" s="224"/>
    </row>
    <row r="925" spans="1:9" ht="30" customHeight="1">
      <c r="A925" s="37">
        <v>599</v>
      </c>
      <c r="B925" s="40" t="s">
        <v>99</v>
      </c>
      <c r="C925" s="40" t="s">
        <v>100</v>
      </c>
      <c r="D925" s="40" t="s">
        <v>62</v>
      </c>
      <c r="E925" s="41" t="s">
        <v>34</v>
      </c>
      <c r="F925" s="69">
        <v>30</v>
      </c>
      <c r="G925" s="42">
        <v>9145.02</v>
      </c>
      <c r="H925" s="51" t="s">
        <v>63</v>
      </c>
      <c r="I925" s="224"/>
    </row>
    <row r="926" spans="1:9" ht="30" customHeight="1">
      <c r="A926" s="37">
        <v>600</v>
      </c>
      <c r="B926" s="40" t="s">
        <v>228</v>
      </c>
      <c r="C926" s="40" t="s">
        <v>229</v>
      </c>
      <c r="D926" s="40" t="s">
        <v>62</v>
      </c>
      <c r="E926" s="41" t="s">
        <v>34</v>
      </c>
      <c r="F926" s="69">
        <v>65</v>
      </c>
      <c r="G926" s="42">
        <v>2787.5</v>
      </c>
      <c r="H926" s="51" t="s">
        <v>63</v>
      </c>
      <c r="I926" s="224"/>
    </row>
    <row r="927" spans="1:9" ht="30" customHeight="1">
      <c r="A927" s="37">
        <v>601</v>
      </c>
      <c r="B927" s="40" t="s">
        <v>103</v>
      </c>
      <c r="C927" s="40" t="s">
        <v>104</v>
      </c>
      <c r="D927" s="40" t="s">
        <v>62</v>
      </c>
      <c r="E927" s="41" t="s">
        <v>25</v>
      </c>
      <c r="F927" s="69">
        <v>1000</v>
      </c>
      <c r="G927" s="42">
        <v>4640</v>
      </c>
      <c r="H927" s="51" t="s">
        <v>63</v>
      </c>
      <c r="I927" s="224"/>
    </row>
    <row r="928" spans="1:9" ht="30" customHeight="1">
      <c r="A928" s="37">
        <v>602</v>
      </c>
      <c r="B928" s="40" t="s">
        <v>230</v>
      </c>
      <c r="C928" s="40" t="s">
        <v>231</v>
      </c>
      <c r="D928" s="40" t="s">
        <v>62</v>
      </c>
      <c r="E928" s="41" t="s">
        <v>77</v>
      </c>
      <c r="F928" s="69">
        <v>19</v>
      </c>
      <c r="G928" s="42">
        <v>1135.9</v>
      </c>
      <c r="H928" s="51" t="s">
        <v>63</v>
      </c>
      <c r="I928" s="224"/>
    </row>
    <row r="929" spans="1:9" ht="30" customHeight="1">
      <c r="A929" s="37">
        <v>603</v>
      </c>
      <c r="B929" s="38" t="s">
        <v>232</v>
      </c>
      <c r="C929" s="40" t="s">
        <v>85</v>
      </c>
      <c r="D929" s="40" t="s">
        <v>62</v>
      </c>
      <c r="E929" s="41" t="s">
        <v>34</v>
      </c>
      <c r="F929" s="69">
        <v>9</v>
      </c>
      <c r="G929" s="42">
        <v>986.12</v>
      </c>
      <c r="H929" s="51" t="s">
        <v>63</v>
      </c>
      <c r="I929" s="224"/>
    </row>
    <row r="930" spans="1:9" ht="30" customHeight="1">
      <c r="A930" s="37">
        <v>604</v>
      </c>
      <c r="B930" s="38" t="s">
        <v>105</v>
      </c>
      <c r="C930" s="40" t="s">
        <v>70</v>
      </c>
      <c r="D930" s="40" t="s">
        <v>62</v>
      </c>
      <c r="E930" s="41" t="s">
        <v>34</v>
      </c>
      <c r="F930" s="69">
        <v>27</v>
      </c>
      <c r="G930" s="42">
        <v>895.3</v>
      </c>
      <c r="H930" s="51" t="s">
        <v>63</v>
      </c>
      <c r="I930" s="224"/>
    </row>
    <row r="931" spans="1:9" ht="30" customHeight="1">
      <c r="A931" s="37">
        <v>605</v>
      </c>
      <c r="B931" s="38" t="s">
        <v>278</v>
      </c>
      <c r="C931" s="40" t="s">
        <v>70</v>
      </c>
      <c r="D931" s="40" t="s">
        <v>62</v>
      </c>
      <c r="E931" s="41" t="s">
        <v>34</v>
      </c>
      <c r="F931" s="69">
        <v>2</v>
      </c>
      <c r="G931" s="42">
        <v>36.2</v>
      </c>
      <c r="H931" s="51" t="s">
        <v>63</v>
      </c>
      <c r="I931" s="224"/>
    </row>
    <row r="932" spans="1:9" ht="30" customHeight="1">
      <c r="A932" s="37">
        <v>606</v>
      </c>
      <c r="B932" s="40" t="s">
        <v>269</v>
      </c>
      <c r="C932" s="40" t="s">
        <v>270</v>
      </c>
      <c r="D932" s="40" t="s">
        <v>62</v>
      </c>
      <c r="E932" s="41" t="s">
        <v>34</v>
      </c>
      <c r="F932" s="69">
        <v>0.2</v>
      </c>
      <c r="G932" s="42">
        <v>74.88</v>
      </c>
      <c r="H932" s="51" t="s">
        <v>63</v>
      </c>
      <c r="I932" s="224"/>
    </row>
    <row r="933" spans="1:9" ht="32.25" customHeight="1" hidden="1">
      <c r="A933" s="37"/>
      <c r="B933" s="45"/>
      <c r="C933" s="242" t="s">
        <v>106</v>
      </c>
      <c r="D933" s="243"/>
      <c r="E933" s="41"/>
      <c r="F933" s="50"/>
      <c r="G933" s="42">
        <f>SUM(G902:G932)</f>
        <v>77430</v>
      </c>
      <c r="H933" s="51"/>
      <c r="I933" s="224"/>
    </row>
    <row r="934" spans="1:9" ht="30" customHeight="1">
      <c r="A934" s="37">
        <v>607</v>
      </c>
      <c r="B934" s="38" t="s">
        <v>235</v>
      </c>
      <c r="C934" s="40" t="s">
        <v>116</v>
      </c>
      <c r="D934" s="40" t="s">
        <v>109</v>
      </c>
      <c r="E934" s="41" t="s">
        <v>25</v>
      </c>
      <c r="F934" s="50" t="s">
        <v>117</v>
      </c>
      <c r="G934" s="42">
        <v>297</v>
      </c>
      <c r="H934" s="51" t="s">
        <v>63</v>
      </c>
      <c r="I934" s="224"/>
    </row>
    <row r="935" spans="1:9" ht="37.5" customHeight="1">
      <c r="A935" s="37">
        <v>608</v>
      </c>
      <c r="B935" s="38" t="s">
        <v>377</v>
      </c>
      <c r="C935" s="40" t="s">
        <v>119</v>
      </c>
      <c r="D935" s="40" t="s">
        <v>109</v>
      </c>
      <c r="E935" s="41" t="s">
        <v>120</v>
      </c>
      <c r="F935" s="157" t="s">
        <v>121</v>
      </c>
      <c r="G935" s="42">
        <v>3627.58</v>
      </c>
      <c r="H935" s="51" t="s">
        <v>63</v>
      </c>
      <c r="I935" s="224"/>
    </row>
    <row r="936" spans="1:9" ht="45" customHeight="1">
      <c r="A936" s="37">
        <v>609</v>
      </c>
      <c r="B936" s="38" t="s">
        <v>378</v>
      </c>
      <c r="C936" s="249" t="s">
        <v>242</v>
      </c>
      <c r="D936" s="40" t="s">
        <v>109</v>
      </c>
      <c r="E936" s="41" t="s">
        <v>25</v>
      </c>
      <c r="F936" s="41">
        <v>2</v>
      </c>
      <c r="G936" s="42">
        <v>384.48</v>
      </c>
      <c r="H936" s="51" t="s">
        <v>132</v>
      </c>
      <c r="I936" s="224"/>
    </row>
    <row r="937" spans="1:9" ht="30" customHeight="1">
      <c r="A937" s="37">
        <v>610</v>
      </c>
      <c r="B937" s="38" t="s">
        <v>379</v>
      </c>
      <c r="C937" s="40" t="s">
        <v>239</v>
      </c>
      <c r="D937" s="40" t="s">
        <v>109</v>
      </c>
      <c r="E937" s="41" t="s">
        <v>285</v>
      </c>
      <c r="F937" s="41">
        <v>275</v>
      </c>
      <c r="G937" s="42">
        <v>814</v>
      </c>
      <c r="H937" s="51" t="s">
        <v>19</v>
      </c>
      <c r="I937" s="224"/>
    </row>
    <row r="938" spans="1:9" ht="30" customHeight="1">
      <c r="A938" s="37">
        <v>611</v>
      </c>
      <c r="B938" s="40" t="s">
        <v>111</v>
      </c>
      <c r="C938" s="250" t="s">
        <v>112</v>
      </c>
      <c r="D938" s="40" t="s">
        <v>109</v>
      </c>
      <c r="E938" s="41" t="s">
        <v>77</v>
      </c>
      <c r="F938" s="41">
        <v>2400</v>
      </c>
      <c r="G938" s="42">
        <v>2880</v>
      </c>
      <c r="H938" s="51" t="s">
        <v>63</v>
      </c>
      <c r="I938" s="224"/>
    </row>
    <row r="939" spans="1:9" ht="30" customHeight="1">
      <c r="A939" s="37">
        <v>612</v>
      </c>
      <c r="B939" s="38" t="s">
        <v>380</v>
      </c>
      <c r="C939" s="40" t="s">
        <v>123</v>
      </c>
      <c r="D939" s="40" t="s">
        <v>109</v>
      </c>
      <c r="E939" s="41" t="s">
        <v>113</v>
      </c>
      <c r="F939" s="41" t="s">
        <v>117</v>
      </c>
      <c r="G939" s="42">
        <v>1413</v>
      </c>
      <c r="H939" s="51" t="s">
        <v>63</v>
      </c>
      <c r="I939" s="224"/>
    </row>
    <row r="940" spans="1:9" ht="30" customHeight="1">
      <c r="A940" s="37">
        <v>613</v>
      </c>
      <c r="B940" s="38" t="s">
        <v>130</v>
      </c>
      <c r="C940" s="40" t="s">
        <v>131</v>
      </c>
      <c r="D940" s="40" t="s">
        <v>109</v>
      </c>
      <c r="E940" s="41" t="s">
        <v>25</v>
      </c>
      <c r="F940" s="41">
        <v>6</v>
      </c>
      <c r="G940" s="42">
        <v>1512</v>
      </c>
      <c r="H940" s="51" t="s">
        <v>132</v>
      </c>
      <c r="I940" s="224"/>
    </row>
    <row r="941" spans="1:9" ht="30" customHeight="1">
      <c r="A941" s="37">
        <v>614</v>
      </c>
      <c r="B941" s="38" t="s">
        <v>321</v>
      </c>
      <c r="C941" s="40" t="s">
        <v>239</v>
      </c>
      <c r="D941" s="40" t="s">
        <v>109</v>
      </c>
      <c r="E941" s="41" t="s">
        <v>285</v>
      </c>
      <c r="F941" s="41">
        <v>543</v>
      </c>
      <c r="G941" s="42">
        <v>1400.94</v>
      </c>
      <c r="H941" s="51" t="s">
        <v>19</v>
      </c>
      <c r="I941" s="224"/>
    </row>
    <row r="942" spans="1:12" ht="30" customHeight="1" hidden="1">
      <c r="A942" s="37">
        <v>633</v>
      </c>
      <c r="B942" s="45" t="s">
        <v>136</v>
      </c>
      <c r="C942" s="46"/>
      <c r="D942" s="40"/>
      <c r="E942" s="41"/>
      <c r="F942" s="41"/>
      <c r="G942" s="42">
        <f>SUM(G934:G941)</f>
        <v>12329</v>
      </c>
      <c r="H942" s="51"/>
      <c r="I942" s="224"/>
      <c r="K942" s="74">
        <f>SUM(K934:K941)</f>
        <v>0</v>
      </c>
      <c r="L942" s="74" t="e">
        <f>SUM(#REF!)</f>
        <v>#REF!</v>
      </c>
    </row>
    <row r="943" spans="1:11" ht="30" customHeight="1">
      <c r="A943" s="37">
        <v>615</v>
      </c>
      <c r="B943" s="38" t="s">
        <v>137</v>
      </c>
      <c r="C943" s="52" t="s">
        <v>138</v>
      </c>
      <c r="D943" s="40" t="s">
        <v>139</v>
      </c>
      <c r="E943" s="41" t="s">
        <v>140</v>
      </c>
      <c r="F943" s="53">
        <f>G943/2878.55</f>
        <v>142.75242743742507</v>
      </c>
      <c r="G943" s="42">
        <v>410920</v>
      </c>
      <c r="H943" s="40" t="s">
        <v>63</v>
      </c>
      <c r="I943" s="224"/>
      <c r="K943" s="12">
        <v>169940</v>
      </c>
    </row>
    <row r="944" spans="1:9" ht="30" customHeight="1" hidden="1">
      <c r="A944" s="37">
        <v>635</v>
      </c>
      <c r="B944" s="45" t="s">
        <v>141</v>
      </c>
      <c r="C944" s="46"/>
      <c r="D944" s="40"/>
      <c r="E944" s="41"/>
      <c r="F944" s="41"/>
      <c r="G944" s="42">
        <f>SUM(G943:G943)</f>
        <v>410920</v>
      </c>
      <c r="H944" s="51"/>
      <c r="I944" s="224"/>
    </row>
    <row r="945" spans="1:13" ht="30" customHeight="1">
      <c r="A945" s="37">
        <v>616</v>
      </c>
      <c r="B945" s="38" t="s">
        <v>142</v>
      </c>
      <c r="C945" s="54" t="s">
        <v>143</v>
      </c>
      <c r="D945" s="40" t="s">
        <v>144</v>
      </c>
      <c r="E945" s="41" t="s">
        <v>145</v>
      </c>
      <c r="F945" s="56">
        <f>G945/4.143</f>
        <v>5120.444122616462</v>
      </c>
      <c r="G945" s="42">
        <v>21214</v>
      </c>
      <c r="H945" s="40" t="s">
        <v>63</v>
      </c>
      <c r="I945" s="224"/>
      <c r="K945" s="12">
        <f>6930+970</f>
        <v>7900</v>
      </c>
      <c r="L945" s="240">
        <f>F945-J945</f>
        <v>5120.444122616462</v>
      </c>
      <c r="M945" s="74">
        <f>G945-K945</f>
        <v>13314</v>
      </c>
    </row>
    <row r="946" spans="1:9" ht="30" customHeight="1" hidden="1">
      <c r="A946" s="37"/>
      <c r="B946" s="45" t="s">
        <v>146</v>
      </c>
      <c r="C946" s="46"/>
      <c r="D946" s="40"/>
      <c r="E946" s="40"/>
      <c r="F946" s="40"/>
      <c r="G946" s="42">
        <f>G945</f>
        <v>21214</v>
      </c>
      <c r="H946" s="51"/>
      <c r="I946" s="224"/>
    </row>
    <row r="947" spans="1:9" ht="32.25" customHeight="1" hidden="1">
      <c r="A947" s="102"/>
      <c r="B947" s="244"/>
      <c r="C947" s="244"/>
      <c r="D947" s="245"/>
      <c r="E947" s="245"/>
      <c r="F947" s="245"/>
      <c r="G947" s="104"/>
      <c r="H947" s="246"/>
      <c r="I947" s="252"/>
    </row>
    <row r="948" spans="1:9" ht="32.25" customHeight="1" hidden="1">
      <c r="A948" s="19"/>
      <c r="B948" s="208" t="s">
        <v>151</v>
      </c>
      <c r="C948" s="167"/>
      <c r="D948" s="168"/>
      <c r="E948" s="207"/>
      <c r="F948" s="170"/>
      <c r="G948" s="110"/>
      <c r="H948" s="171"/>
      <c r="I948" s="223"/>
    </row>
    <row r="949" spans="1:9" ht="32.25" customHeight="1" hidden="1">
      <c r="A949" s="19"/>
      <c r="B949" s="167" t="s">
        <v>693</v>
      </c>
      <c r="C949" s="167"/>
      <c r="D949" s="225" t="s">
        <v>153</v>
      </c>
      <c r="E949" s="226"/>
      <c r="F949" s="170"/>
      <c r="G949" s="110"/>
      <c r="H949" s="171"/>
      <c r="I949" s="223"/>
    </row>
    <row r="950" spans="1:9" ht="32.25" customHeight="1" hidden="1">
      <c r="A950" s="19"/>
      <c r="B950" s="167"/>
      <c r="C950" s="167"/>
      <c r="D950" s="227" t="s">
        <v>694</v>
      </c>
      <c r="E950" s="228" t="s">
        <v>692</v>
      </c>
      <c r="F950" s="170"/>
      <c r="G950" s="110"/>
      <c r="H950" s="171"/>
      <c r="I950" s="223"/>
    </row>
    <row r="951" spans="1:9" ht="32.25" customHeight="1" hidden="1">
      <c r="A951" s="19"/>
      <c r="B951" s="167" t="s">
        <v>156</v>
      </c>
      <c r="C951" s="167"/>
      <c r="D951" s="225" t="s">
        <v>157</v>
      </c>
      <c r="E951" s="226"/>
      <c r="F951" s="170"/>
      <c r="G951" s="110"/>
      <c r="H951" s="171"/>
      <c r="I951" s="223"/>
    </row>
    <row r="952" spans="1:9" ht="32.25" customHeight="1" hidden="1">
      <c r="A952" s="19"/>
      <c r="B952" s="167" t="s">
        <v>695</v>
      </c>
      <c r="C952" s="167"/>
      <c r="D952" s="168"/>
      <c r="E952" s="207"/>
      <c r="F952" s="170"/>
      <c r="G952" s="110"/>
      <c r="H952" s="171"/>
      <c r="I952" s="223"/>
    </row>
    <row r="953" spans="1:9" ht="32.25" customHeight="1" hidden="1">
      <c r="A953" s="19"/>
      <c r="B953" s="229" t="s">
        <v>159</v>
      </c>
      <c r="C953" s="167"/>
      <c r="D953" s="225" t="s">
        <v>160</v>
      </c>
      <c r="E953" s="226"/>
      <c r="F953" s="170"/>
      <c r="G953" s="110"/>
      <c r="H953" s="171"/>
      <c r="I953" s="223"/>
    </row>
    <row r="954" spans="1:9" ht="32.25" customHeight="1" hidden="1">
      <c r="A954" s="19"/>
      <c r="B954" s="230" t="s">
        <v>161</v>
      </c>
      <c r="C954" s="167"/>
      <c r="D954" s="168"/>
      <c r="E954" s="207"/>
      <c r="F954" s="170"/>
      <c r="G954" s="110"/>
      <c r="H954" s="171"/>
      <c r="I954" s="223"/>
    </row>
    <row r="955" spans="1:9" ht="32.25" customHeight="1" hidden="1">
      <c r="A955" s="19"/>
      <c r="B955" s="169"/>
      <c r="C955" s="169"/>
      <c r="D955" s="170"/>
      <c r="E955" s="170"/>
      <c r="F955" s="170"/>
      <c r="G955" s="110"/>
      <c r="H955" s="171"/>
      <c r="I955" s="223"/>
    </row>
    <row r="956" spans="1:9" ht="32.25" customHeight="1" hidden="1">
      <c r="A956" s="19"/>
      <c r="B956" s="19"/>
      <c r="C956" s="190"/>
      <c r="D956" s="187"/>
      <c r="E956" s="187"/>
      <c r="F956" s="209" t="s">
        <v>1</v>
      </c>
      <c r="G956" s="209"/>
      <c r="H956" s="8"/>
      <c r="I956" s="223"/>
    </row>
    <row r="957" spans="1:9" ht="32.25" customHeight="1" hidden="1">
      <c r="A957" s="19"/>
      <c r="B957" s="190" t="s">
        <v>687</v>
      </c>
      <c r="C957" s="8"/>
      <c r="D957" s="187"/>
      <c r="E957" s="187"/>
      <c r="F957" s="209"/>
      <c r="G957" s="209"/>
      <c r="H957" s="8"/>
      <c r="I957" s="223"/>
    </row>
    <row r="958" spans="1:9" ht="32.25" customHeight="1" hidden="1">
      <c r="A958" s="19"/>
      <c r="B958" s="167"/>
      <c r="C958" s="167"/>
      <c r="D958" s="168"/>
      <c r="E958" s="207"/>
      <c r="F958" s="207"/>
      <c r="G958" s="110"/>
      <c r="H958" s="8"/>
      <c r="I958" s="223"/>
    </row>
    <row r="959" spans="1:9" ht="32.25" customHeight="1" hidden="1">
      <c r="A959" s="191" t="s">
        <v>329</v>
      </c>
      <c r="B959" s="191"/>
      <c r="C959" s="191"/>
      <c r="D959" s="191"/>
      <c r="E959" s="191"/>
      <c r="F959" s="191"/>
      <c r="G959" s="191"/>
      <c r="H959" s="191"/>
      <c r="I959" s="191"/>
    </row>
    <row r="960" spans="1:9" ht="32.25" customHeight="1" hidden="1">
      <c r="A960" s="191"/>
      <c r="B960" s="191"/>
      <c r="C960" s="191"/>
      <c r="D960" s="191"/>
      <c r="E960" s="191"/>
      <c r="F960" s="191"/>
      <c r="G960" s="191"/>
      <c r="H960" s="191"/>
      <c r="I960" s="191"/>
    </row>
    <row r="961" spans="1:9" s="7" customFormat="1" ht="29.25" customHeight="1">
      <c r="A961" s="35" t="s">
        <v>679</v>
      </c>
      <c r="B961" s="173"/>
      <c r="C961" s="173"/>
      <c r="D961" s="173"/>
      <c r="E961" s="173"/>
      <c r="F961" s="173"/>
      <c r="G961" s="173"/>
      <c r="H961" s="173"/>
      <c r="I961" s="173"/>
    </row>
    <row r="962" spans="3:9" ht="12" customHeight="1" hidden="1">
      <c r="C962" s="124"/>
      <c r="D962" s="125" t="s">
        <v>4</v>
      </c>
      <c r="E962" s="124"/>
      <c r="F962" s="124"/>
      <c r="H962" s="16"/>
      <c r="I962" s="16"/>
    </row>
    <row r="963" ht="3.75" customHeight="1" hidden="1"/>
    <row r="964" spans="1:11" ht="15.75" customHeight="1" hidden="1">
      <c r="A964" s="26" t="s">
        <v>5</v>
      </c>
      <c r="B964" s="27" t="s">
        <v>6</v>
      </c>
      <c r="C964" s="28" t="s">
        <v>7</v>
      </c>
      <c r="D964" s="28" t="s">
        <v>249</v>
      </c>
      <c r="E964" s="28" t="s">
        <v>9</v>
      </c>
      <c r="F964" s="28" t="s">
        <v>10</v>
      </c>
      <c r="G964" s="128" t="s">
        <v>250</v>
      </c>
      <c r="H964" s="28" t="s">
        <v>251</v>
      </c>
      <c r="I964" s="28" t="s">
        <v>13</v>
      </c>
      <c r="J964" s="71"/>
      <c r="K964" s="71"/>
    </row>
    <row r="965" spans="1:9" ht="31.5" customHeight="1" hidden="1">
      <c r="A965" s="29"/>
      <c r="B965" s="30"/>
      <c r="C965" s="31"/>
      <c r="D965" s="31"/>
      <c r="E965" s="31"/>
      <c r="F965" s="31"/>
      <c r="G965" s="129"/>
      <c r="H965" s="31"/>
      <c r="I965" s="31"/>
    </row>
    <row r="966" spans="1:9" ht="37.5" customHeight="1" hidden="1">
      <c r="A966" s="32"/>
      <c r="B966" s="33"/>
      <c r="C966" s="34"/>
      <c r="D966" s="34"/>
      <c r="E966" s="34"/>
      <c r="F966" s="34"/>
      <c r="G966" s="130"/>
      <c r="H966" s="34"/>
      <c r="I966" s="34"/>
    </row>
    <row r="967" spans="1:9" ht="20.25" customHeight="1" hidden="1">
      <c r="A967" s="32">
        <v>1</v>
      </c>
      <c r="B967" s="33">
        <v>2</v>
      </c>
      <c r="C967" s="34">
        <v>3</v>
      </c>
      <c r="D967" s="34">
        <v>4</v>
      </c>
      <c r="E967" s="34">
        <v>5</v>
      </c>
      <c r="F967" s="34">
        <v>6</v>
      </c>
      <c r="G967" s="130">
        <v>7</v>
      </c>
      <c r="H967" s="34">
        <v>8</v>
      </c>
      <c r="I967" s="72">
        <v>9</v>
      </c>
    </row>
    <row r="968" spans="1:9" ht="30" customHeight="1">
      <c r="A968" s="37">
        <v>617</v>
      </c>
      <c r="B968" s="160" t="s">
        <v>330</v>
      </c>
      <c r="C968" s="39" t="s">
        <v>40</v>
      </c>
      <c r="D968" s="133" t="s">
        <v>17</v>
      </c>
      <c r="E968" s="41" t="s">
        <v>25</v>
      </c>
      <c r="F968" s="41">
        <v>4</v>
      </c>
      <c r="G968" s="42">
        <v>837.8</v>
      </c>
      <c r="H968" s="155" t="s">
        <v>19</v>
      </c>
      <c r="I968" s="73" t="s">
        <v>253</v>
      </c>
    </row>
    <row r="969" spans="1:9" ht="45" customHeight="1">
      <c r="A969" s="32">
        <v>618</v>
      </c>
      <c r="B969" s="134" t="s">
        <v>331</v>
      </c>
      <c r="C969" s="43" t="s">
        <v>332</v>
      </c>
      <c r="D969" s="133" t="s">
        <v>17</v>
      </c>
      <c r="E969" s="34" t="s">
        <v>25</v>
      </c>
      <c r="F969" s="34">
        <v>1</v>
      </c>
      <c r="G969" s="135">
        <v>2200</v>
      </c>
      <c r="H969" s="155" t="s">
        <v>19</v>
      </c>
      <c r="I969" s="100"/>
    </row>
    <row r="970" spans="1:9" ht="30" customHeight="1">
      <c r="A970" s="37">
        <v>619</v>
      </c>
      <c r="B970" s="134" t="s">
        <v>333</v>
      </c>
      <c r="C970" s="43" t="s">
        <v>334</v>
      </c>
      <c r="D970" s="133" t="s">
        <v>17</v>
      </c>
      <c r="E970" s="34" t="s">
        <v>25</v>
      </c>
      <c r="F970" s="34">
        <v>3</v>
      </c>
      <c r="G970" s="135">
        <v>825.78</v>
      </c>
      <c r="H970" s="155" t="s">
        <v>19</v>
      </c>
      <c r="I970" s="100"/>
    </row>
    <row r="971" spans="1:9" ht="30" customHeight="1">
      <c r="A971" s="32">
        <v>620</v>
      </c>
      <c r="B971" s="134" t="s">
        <v>335</v>
      </c>
      <c r="C971" s="43" t="s">
        <v>260</v>
      </c>
      <c r="D971" s="133" t="s">
        <v>17</v>
      </c>
      <c r="E971" s="34" t="s">
        <v>25</v>
      </c>
      <c r="F971" s="34">
        <v>1</v>
      </c>
      <c r="G971" s="135">
        <v>3500</v>
      </c>
      <c r="H971" s="155" t="s">
        <v>19</v>
      </c>
      <c r="I971" s="100"/>
    </row>
    <row r="972" spans="1:9" ht="30" customHeight="1">
      <c r="A972" s="37">
        <v>621</v>
      </c>
      <c r="B972" s="134" t="s">
        <v>336</v>
      </c>
      <c r="C972" s="43" t="s">
        <v>54</v>
      </c>
      <c r="D972" s="133" t="s">
        <v>17</v>
      </c>
      <c r="E972" s="34" t="s">
        <v>25</v>
      </c>
      <c r="F972" s="34">
        <v>5</v>
      </c>
      <c r="G972" s="135">
        <v>453.4</v>
      </c>
      <c r="H972" s="155" t="s">
        <v>19</v>
      </c>
      <c r="I972" s="100"/>
    </row>
    <row r="973" spans="1:9" ht="30" customHeight="1">
      <c r="A973" s="32">
        <v>622</v>
      </c>
      <c r="B973" s="134" t="s">
        <v>337</v>
      </c>
      <c r="C973" s="43" t="s">
        <v>56</v>
      </c>
      <c r="D973" s="133" t="s">
        <v>17</v>
      </c>
      <c r="E973" s="34" t="s">
        <v>25</v>
      </c>
      <c r="F973" s="34">
        <v>1</v>
      </c>
      <c r="G973" s="135">
        <v>1300</v>
      </c>
      <c r="H973" s="155" t="s">
        <v>19</v>
      </c>
      <c r="I973" s="100"/>
    </row>
    <row r="974" spans="1:9" ht="30" customHeight="1">
      <c r="A974" s="37">
        <v>623</v>
      </c>
      <c r="B974" s="134" t="s">
        <v>338</v>
      </c>
      <c r="C974" s="43" t="s">
        <v>339</v>
      </c>
      <c r="D974" s="43" t="s">
        <v>340</v>
      </c>
      <c r="E974" s="34" t="s">
        <v>25</v>
      </c>
      <c r="F974" s="34">
        <v>1</v>
      </c>
      <c r="G974" s="130">
        <v>184.97</v>
      </c>
      <c r="H974" s="155" t="s">
        <v>19</v>
      </c>
      <c r="I974" s="100"/>
    </row>
    <row r="975" spans="1:9" ht="30" customHeight="1">
      <c r="A975" s="32">
        <v>624</v>
      </c>
      <c r="B975" s="134" t="s">
        <v>341</v>
      </c>
      <c r="C975" s="43" t="s">
        <v>38</v>
      </c>
      <c r="D975" s="43" t="s">
        <v>340</v>
      </c>
      <c r="E975" s="34" t="s">
        <v>25</v>
      </c>
      <c r="F975" s="34">
        <v>2</v>
      </c>
      <c r="G975" s="130">
        <v>2160.8</v>
      </c>
      <c r="H975" s="155" t="s">
        <v>19</v>
      </c>
      <c r="I975" s="100"/>
    </row>
    <row r="976" spans="1:9" ht="30" customHeight="1">
      <c r="A976" s="37">
        <v>625</v>
      </c>
      <c r="B976" s="134" t="s">
        <v>342</v>
      </c>
      <c r="C976" s="43" t="s">
        <v>38</v>
      </c>
      <c r="D976" s="43" t="s">
        <v>340</v>
      </c>
      <c r="E976" s="34" t="s">
        <v>25</v>
      </c>
      <c r="F976" s="34">
        <v>2</v>
      </c>
      <c r="G976" s="130">
        <v>2520</v>
      </c>
      <c r="H976" s="155" t="s">
        <v>19</v>
      </c>
      <c r="I976" s="100"/>
    </row>
    <row r="977" spans="1:9" ht="30" customHeight="1">
      <c r="A977" s="32">
        <v>626</v>
      </c>
      <c r="B977" s="134" t="s">
        <v>343</v>
      </c>
      <c r="C977" s="43" t="s">
        <v>344</v>
      </c>
      <c r="D977" s="43" t="s">
        <v>340</v>
      </c>
      <c r="E977" s="34" t="s">
        <v>25</v>
      </c>
      <c r="F977" s="34">
        <v>3</v>
      </c>
      <c r="G977" s="130">
        <v>258</v>
      </c>
      <c r="H977" s="155" t="s">
        <v>19</v>
      </c>
      <c r="I977" s="100"/>
    </row>
    <row r="978" spans="1:9" ht="45" customHeight="1">
      <c r="A978" s="37">
        <v>627</v>
      </c>
      <c r="B978" s="134" t="s">
        <v>345</v>
      </c>
      <c r="C978" s="43" t="s">
        <v>346</v>
      </c>
      <c r="D978" s="43" t="s">
        <v>340</v>
      </c>
      <c r="E978" s="34" t="s">
        <v>34</v>
      </c>
      <c r="F978" s="34">
        <v>2</v>
      </c>
      <c r="G978" s="130">
        <v>1980</v>
      </c>
      <c r="H978" s="155" t="s">
        <v>19</v>
      </c>
      <c r="I978" s="100"/>
    </row>
    <row r="979" spans="1:15" ht="30" customHeight="1">
      <c r="A979" s="32">
        <v>628</v>
      </c>
      <c r="B979" s="160" t="s">
        <v>15</v>
      </c>
      <c r="C979" s="43" t="s">
        <v>347</v>
      </c>
      <c r="D979" s="43" t="s">
        <v>340</v>
      </c>
      <c r="E979" s="41" t="s">
        <v>18</v>
      </c>
      <c r="F979" s="41">
        <v>10</v>
      </c>
      <c r="G979" s="42">
        <v>2100</v>
      </c>
      <c r="H979" s="155" t="s">
        <v>19</v>
      </c>
      <c r="I979" s="100"/>
      <c r="L979" s="74">
        <f>G979-K979</f>
        <v>2100</v>
      </c>
      <c r="N979" s="12">
        <v>3</v>
      </c>
      <c r="O979" s="12">
        <v>780</v>
      </c>
    </row>
    <row r="980" spans="1:14" ht="30" customHeight="1">
      <c r="A980" s="37">
        <v>629</v>
      </c>
      <c r="B980" s="253" t="s">
        <v>348</v>
      </c>
      <c r="C980" s="43" t="s">
        <v>24</v>
      </c>
      <c r="D980" s="43" t="s">
        <v>340</v>
      </c>
      <c r="E980" s="41" t="s">
        <v>25</v>
      </c>
      <c r="F980" s="41">
        <v>2</v>
      </c>
      <c r="G980" s="42">
        <v>347.12</v>
      </c>
      <c r="H980" s="155" t="s">
        <v>19</v>
      </c>
      <c r="I980" s="100"/>
      <c r="L980" s="74">
        <f>G980-K980</f>
        <v>347.12</v>
      </c>
      <c r="M980" s="12">
        <v>20</v>
      </c>
      <c r="N980" s="12">
        <f>10960-8220</f>
        <v>2740</v>
      </c>
    </row>
    <row r="981" spans="1:14" ht="60" customHeight="1">
      <c r="A981" s="32">
        <v>630</v>
      </c>
      <c r="B981" s="253" t="s">
        <v>349</v>
      </c>
      <c r="C981" s="43" t="s">
        <v>21</v>
      </c>
      <c r="D981" s="43" t="s">
        <v>340</v>
      </c>
      <c r="E981" s="41" t="s">
        <v>25</v>
      </c>
      <c r="F981" s="41">
        <v>3</v>
      </c>
      <c r="G981" s="42">
        <v>1111.32</v>
      </c>
      <c r="H981" s="155" t="s">
        <v>19</v>
      </c>
      <c r="I981" s="100"/>
      <c r="L981" s="74">
        <f>G981-K981</f>
        <v>1111.32</v>
      </c>
      <c r="M981" s="12">
        <v>20</v>
      </c>
      <c r="N981" s="12">
        <f>10960-8220</f>
        <v>2740</v>
      </c>
    </row>
    <row r="982" spans="1:12" s="5" customFormat="1" ht="30" customHeight="1">
      <c r="A982" s="37">
        <v>631</v>
      </c>
      <c r="B982" s="254" t="s">
        <v>350</v>
      </c>
      <c r="C982" s="136" t="s">
        <v>27</v>
      </c>
      <c r="D982" s="43" t="s">
        <v>340</v>
      </c>
      <c r="E982" s="41" t="s">
        <v>25</v>
      </c>
      <c r="F982" s="41">
        <v>7</v>
      </c>
      <c r="G982" s="42">
        <v>415.45</v>
      </c>
      <c r="H982" s="155" t="s">
        <v>19</v>
      </c>
      <c r="I982" s="100"/>
      <c r="L982" s="165"/>
    </row>
    <row r="983" spans="1:12" s="5" customFormat="1" ht="30" customHeight="1">
      <c r="A983" s="32">
        <v>632</v>
      </c>
      <c r="B983" s="253" t="s">
        <v>351</v>
      </c>
      <c r="C983" s="136" t="s">
        <v>31</v>
      </c>
      <c r="D983" s="43" t="s">
        <v>340</v>
      </c>
      <c r="E983" s="41" t="s">
        <v>25</v>
      </c>
      <c r="F983" s="41">
        <v>3</v>
      </c>
      <c r="G983" s="42">
        <v>78.78</v>
      </c>
      <c r="H983" s="155" t="s">
        <v>19</v>
      </c>
      <c r="I983" s="100"/>
      <c r="L983" s="165"/>
    </row>
    <row r="984" spans="1:12" ht="30" customHeight="1">
      <c r="A984" s="37">
        <v>633</v>
      </c>
      <c r="B984" s="38" t="s">
        <v>57</v>
      </c>
      <c r="C984" s="40" t="s">
        <v>58</v>
      </c>
      <c r="D984" s="40" t="s">
        <v>17</v>
      </c>
      <c r="E984" s="41" t="s">
        <v>25</v>
      </c>
      <c r="F984" s="41">
        <v>1</v>
      </c>
      <c r="G984" s="42">
        <v>2500.2</v>
      </c>
      <c r="H984" s="155" t="s">
        <v>19</v>
      </c>
      <c r="I984" s="100"/>
      <c r="L984" s="74"/>
    </row>
    <row r="985" spans="1:12" ht="45" customHeight="1">
      <c r="A985" s="32">
        <v>634</v>
      </c>
      <c r="B985" s="253" t="s">
        <v>352</v>
      </c>
      <c r="C985" s="43" t="s">
        <v>27</v>
      </c>
      <c r="D985" s="43" t="s">
        <v>340</v>
      </c>
      <c r="E985" s="41" t="s">
        <v>25</v>
      </c>
      <c r="F985" s="41">
        <v>1</v>
      </c>
      <c r="G985" s="42">
        <v>176.38</v>
      </c>
      <c r="H985" s="255" t="s">
        <v>19</v>
      </c>
      <c r="I985" s="100"/>
      <c r="L985" s="74">
        <f>G985-K985</f>
        <v>176.38</v>
      </c>
    </row>
    <row r="986" spans="1:12" ht="30" customHeight="1" hidden="1">
      <c r="A986" s="37"/>
      <c r="B986" s="86" t="s">
        <v>59</v>
      </c>
      <c r="C986" s="46"/>
      <c r="D986" s="40"/>
      <c r="E986" s="41"/>
      <c r="F986" s="41"/>
      <c r="G986" s="42">
        <f>SUM(G968:G985)</f>
        <v>22950</v>
      </c>
      <c r="H986" s="51"/>
      <c r="I986" s="31"/>
      <c r="K986" s="12">
        <f>SUM(K968:K985)</f>
        <v>0</v>
      </c>
      <c r="L986" s="74">
        <f>G986-K986</f>
        <v>22950</v>
      </c>
    </row>
    <row r="987" spans="1:12" ht="30" customHeight="1">
      <c r="A987" s="37">
        <v>635</v>
      </c>
      <c r="B987" s="38" t="s">
        <v>220</v>
      </c>
      <c r="C987" s="40" t="s">
        <v>221</v>
      </c>
      <c r="D987" s="40" t="s">
        <v>62</v>
      </c>
      <c r="E987" s="41" t="s">
        <v>34</v>
      </c>
      <c r="F987" s="69">
        <v>6</v>
      </c>
      <c r="G987" s="42">
        <v>80.4</v>
      </c>
      <c r="H987" s="255" t="s">
        <v>63</v>
      </c>
      <c r="I987" s="31"/>
      <c r="L987" s="74"/>
    </row>
    <row r="988" spans="1:12" ht="30" customHeight="1">
      <c r="A988" s="37">
        <v>636</v>
      </c>
      <c r="B988" s="38" t="s">
        <v>268</v>
      </c>
      <c r="C988" s="40" t="s">
        <v>70</v>
      </c>
      <c r="D988" s="40" t="s">
        <v>62</v>
      </c>
      <c r="E988" s="41" t="s">
        <v>34</v>
      </c>
      <c r="F988" s="69">
        <v>2</v>
      </c>
      <c r="G988" s="42">
        <v>40</v>
      </c>
      <c r="H988" s="255" t="s">
        <v>63</v>
      </c>
      <c r="I988" s="31"/>
      <c r="L988" s="74"/>
    </row>
    <row r="989" spans="1:12" ht="30" customHeight="1">
      <c r="A989" s="37">
        <v>637</v>
      </c>
      <c r="B989" s="38" t="s">
        <v>64</v>
      </c>
      <c r="C989" s="40" t="s">
        <v>65</v>
      </c>
      <c r="D989" s="40" t="s">
        <v>62</v>
      </c>
      <c r="E989" s="41" t="s">
        <v>34</v>
      </c>
      <c r="F989" s="69">
        <v>350</v>
      </c>
      <c r="G989" s="42">
        <v>5950</v>
      </c>
      <c r="H989" s="255" t="s">
        <v>63</v>
      </c>
      <c r="I989" s="31"/>
      <c r="L989" s="74"/>
    </row>
    <row r="990" spans="1:12" ht="30" customHeight="1">
      <c r="A990" s="37">
        <v>638</v>
      </c>
      <c r="B990" s="38" t="s">
        <v>71</v>
      </c>
      <c r="C990" s="71" t="s">
        <v>72</v>
      </c>
      <c r="D990" s="40" t="s">
        <v>62</v>
      </c>
      <c r="E990" s="41" t="s">
        <v>34</v>
      </c>
      <c r="F990" s="69">
        <v>30</v>
      </c>
      <c r="G990" s="42">
        <v>476</v>
      </c>
      <c r="H990" s="255" t="s">
        <v>63</v>
      </c>
      <c r="I990" s="31"/>
      <c r="L990" s="74"/>
    </row>
    <row r="991" spans="1:12" ht="45" customHeight="1">
      <c r="A991" s="37">
        <v>639</v>
      </c>
      <c r="B991" s="38" t="s">
        <v>73</v>
      </c>
      <c r="C991" s="40" t="s">
        <v>74</v>
      </c>
      <c r="D991" s="40" t="s">
        <v>62</v>
      </c>
      <c r="E991" s="41" t="s">
        <v>34</v>
      </c>
      <c r="F991" s="69">
        <v>15</v>
      </c>
      <c r="G991" s="42">
        <v>352</v>
      </c>
      <c r="H991" s="255" t="s">
        <v>63</v>
      </c>
      <c r="I991" s="31"/>
      <c r="L991" s="74"/>
    </row>
    <row r="992" spans="1:12" ht="30" customHeight="1">
      <c r="A992" s="37">
        <v>640</v>
      </c>
      <c r="B992" s="38" t="s">
        <v>78</v>
      </c>
      <c r="C992" s="40" t="s">
        <v>79</v>
      </c>
      <c r="D992" s="40" t="s">
        <v>62</v>
      </c>
      <c r="E992" s="41" t="s">
        <v>34</v>
      </c>
      <c r="F992" s="69">
        <v>12</v>
      </c>
      <c r="G992" s="42">
        <v>3693.9</v>
      </c>
      <c r="H992" s="255" t="s">
        <v>63</v>
      </c>
      <c r="I992" s="31"/>
      <c r="L992" s="74"/>
    </row>
    <row r="993" spans="1:12" ht="45" customHeight="1">
      <c r="A993" s="37">
        <v>641</v>
      </c>
      <c r="B993" s="38" t="s">
        <v>80</v>
      </c>
      <c r="C993" s="40" t="s">
        <v>81</v>
      </c>
      <c r="D993" s="40" t="s">
        <v>62</v>
      </c>
      <c r="E993" s="41" t="s">
        <v>82</v>
      </c>
      <c r="F993" s="69">
        <v>21.6</v>
      </c>
      <c r="G993" s="42">
        <v>876.96</v>
      </c>
      <c r="H993" s="255" t="s">
        <v>63</v>
      </c>
      <c r="I993" s="31"/>
      <c r="L993" s="74"/>
    </row>
    <row r="994" spans="1:12" ht="30" customHeight="1">
      <c r="A994" s="37">
        <v>642</v>
      </c>
      <c r="B994" s="38" t="s">
        <v>83</v>
      </c>
      <c r="C994" s="40" t="s">
        <v>72</v>
      </c>
      <c r="D994" s="40" t="s">
        <v>62</v>
      </c>
      <c r="E994" s="41" t="s">
        <v>34</v>
      </c>
      <c r="F994" s="69">
        <v>40</v>
      </c>
      <c r="G994" s="42">
        <v>1006</v>
      </c>
      <c r="H994" s="255" t="s">
        <v>63</v>
      </c>
      <c r="I994" s="31"/>
      <c r="L994" s="74"/>
    </row>
    <row r="995" spans="1:12" ht="45" customHeight="1">
      <c r="A995" s="37">
        <v>643</v>
      </c>
      <c r="B995" s="38" t="s">
        <v>84</v>
      </c>
      <c r="C995" s="40" t="s">
        <v>85</v>
      </c>
      <c r="D995" s="40" t="s">
        <v>62</v>
      </c>
      <c r="E995" s="41" t="s">
        <v>34</v>
      </c>
      <c r="F995" s="69">
        <v>21.7</v>
      </c>
      <c r="G995" s="42">
        <v>2549.94</v>
      </c>
      <c r="H995" s="255" t="s">
        <v>63</v>
      </c>
      <c r="I995" s="31"/>
      <c r="L995" s="74"/>
    </row>
    <row r="996" spans="1:12" ht="30" customHeight="1">
      <c r="A996" s="37">
        <v>644</v>
      </c>
      <c r="B996" s="38" t="s">
        <v>665</v>
      </c>
      <c r="C996" s="40" t="s">
        <v>666</v>
      </c>
      <c r="D996" s="40" t="s">
        <v>62</v>
      </c>
      <c r="E996" s="41" t="s">
        <v>34</v>
      </c>
      <c r="F996" s="69">
        <v>41</v>
      </c>
      <c r="G996" s="42">
        <v>5725.08</v>
      </c>
      <c r="H996" s="255" t="s">
        <v>63</v>
      </c>
      <c r="I996" s="31"/>
      <c r="L996" s="74"/>
    </row>
    <row r="997" spans="1:12" ht="30" customHeight="1">
      <c r="A997" s="37">
        <v>645</v>
      </c>
      <c r="B997" s="38" t="s">
        <v>88</v>
      </c>
      <c r="C997" s="40" t="s">
        <v>85</v>
      </c>
      <c r="D997" s="40" t="s">
        <v>62</v>
      </c>
      <c r="E997" s="41" t="s">
        <v>34</v>
      </c>
      <c r="F997" s="69">
        <v>15</v>
      </c>
      <c r="G997" s="42">
        <v>1862.5</v>
      </c>
      <c r="H997" s="255" t="s">
        <v>63</v>
      </c>
      <c r="I997" s="31"/>
      <c r="L997" s="74"/>
    </row>
    <row r="998" spans="1:12" ht="45" customHeight="1">
      <c r="A998" s="37">
        <v>646</v>
      </c>
      <c r="B998" s="38" t="s">
        <v>60</v>
      </c>
      <c r="C998" s="40" t="s">
        <v>61</v>
      </c>
      <c r="D998" s="40" t="s">
        <v>62</v>
      </c>
      <c r="E998" s="41" t="s">
        <v>34</v>
      </c>
      <c r="F998" s="69">
        <v>3.2</v>
      </c>
      <c r="G998" s="42">
        <v>139.52</v>
      </c>
      <c r="H998" s="255" t="s">
        <v>63</v>
      </c>
      <c r="I998" s="31"/>
      <c r="L998" s="74"/>
    </row>
    <row r="999" spans="1:12" ht="30" customHeight="1">
      <c r="A999" s="37">
        <v>647</v>
      </c>
      <c r="B999" s="38" t="s">
        <v>89</v>
      </c>
      <c r="C999" s="40" t="s">
        <v>90</v>
      </c>
      <c r="D999" s="40" t="s">
        <v>62</v>
      </c>
      <c r="E999" s="41" t="s">
        <v>34</v>
      </c>
      <c r="F999" s="69">
        <v>26</v>
      </c>
      <c r="G999" s="42">
        <v>1288.6</v>
      </c>
      <c r="H999" s="255" t="s">
        <v>63</v>
      </c>
      <c r="I999" s="31"/>
      <c r="L999" s="74"/>
    </row>
    <row r="1000" spans="1:12" ht="30" customHeight="1">
      <c r="A1000" s="37">
        <v>648</v>
      </c>
      <c r="B1000" s="38" t="s">
        <v>91</v>
      </c>
      <c r="C1000" s="40" t="s">
        <v>92</v>
      </c>
      <c r="D1000" s="40" t="s">
        <v>62</v>
      </c>
      <c r="E1000" s="41" t="s">
        <v>34</v>
      </c>
      <c r="F1000" s="69">
        <v>38</v>
      </c>
      <c r="G1000" s="42">
        <v>6352.3</v>
      </c>
      <c r="H1000" s="255" t="s">
        <v>63</v>
      </c>
      <c r="I1000" s="31"/>
      <c r="L1000" s="74"/>
    </row>
    <row r="1001" spans="1:12" ht="30" customHeight="1">
      <c r="A1001" s="37">
        <v>649</v>
      </c>
      <c r="B1001" s="38" t="s">
        <v>222</v>
      </c>
      <c r="C1001" s="40" t="s">
        <v>223</v>
      </c>
      <c r="D1001" s="40" t="s">
        <v>62</v>
      </c>
      <c r="E1001" s="41" t="s">
        <v>34</v>
      </c>
      <c r="F1001" s="69">
        <v>15</v>
      </c>
      <c r="G1001" s="42">
        <v>292</v>
      </c>
      <c r="H1001" s="255" t="s">
        <v>63</v>
      </c>
      <c r="I1001" s="31"/>
      <c r="L1001" s="74"/>
    </row>
    <row r="1002" spans="1:12" ht="30" customHeight="1">
      <c r="A1002" s="37">
        <v>650</v>
      </c>
      <c r="B1002" s="38" t="s">
        <v>93</v>
      </c>
      <c r="C1002" s="40" t="s">
        <v>94</v>
      </c>
      <c r="D1002" s="40" t="s">
        <v>62</v>
      </c>
      <c r="E1002" s="41" t="s">
        <v>34</v>
      </c>
      <c r="F1002" s="69">
        <v>12.54</v>
      </c>
      <c r="G1002" s="42">
        <v>1628.95</v>
      </c>
      <c r="H1002" s="255" t="s">
        <v>63</v>
      </c>
      <c r="I1002" s="31"/>
      <c r="L1002" s="74"/>
    </row>
    <row r="1003" spans="1:12" ht="30" customHeight="1">
      <c r="A1003" s="37">
        <v>651</v>
      </c>
      <c r="B1003" s="38" t="s">
        <v>224</v>
      </c>
      <c r="C1003" s="40" t="s">
        <v>225</v>
      </c>
      <c r="D1003" s="40" t="s">
        <v>62</v>
      </c>
      <c r="E1003" s="41" t="s">
        <v>34</v>
      </c>
      <c r="F1003" s="69">
        <v>6</v>
      </c>
      <c r="G1003" s="42">
        <v>74.4</v>
      </c>
      <c r="H1003" s="255" t="s">
        <v>63</v>
      </c>
      <c r="I1003" s="31"/>
      <c r="L1003" s="74"/>
    </row>
    <row r="1004" spans="1:12" ht="30" customHeight="1">
      <c r="A1004" s="37">
        <v>652</v>
      </c>
      <c r="B1004" s="40" t="s">
        <v>226</v>
      </c>
      <c r="C1004" s="40" t="s">
        <v>227</v>
      </c>
      <c r="D1004" s="40" t="s">
        <v>62</v>
      </c>
      <c r="E1004" s="41" t="s">
        <v>34</v>
      </c>
      <c r="F1004" s="69">
        <v>3</v>
      </c>
      <c r="G1004" s="42">
        <v>412.5</v>
      </c>
      <c r="H1004" s="255" t="s">
        <v>63</v>
      </c>
      <c r="I1004" s="31"/>
      <c r="L1004" s="74"/>
    </row>
    <row r="1005" spans="1:12" ht="30" customHeight="1">
      <c r="A1005" s="37">
        <v>653</v>
      </c>
      <c r="B1005" s="40" t="s">
        <v>276</v>
      </c>
      <c r="C1005" s="40" t="s">
        <v>277</v>
      </c>
      <c r="D1005" s="40" t="s">
        <v>62</v>
      </c>
      <c r="E1005" s="41" t="s">
        <v>34</v>
      </c>
      <c r="F1005" s="69">
        <v>4</v>
      </c>
      <c r="G1005" s="42">
        <v>730.8</v>
      </c>
      <c r="H1005" s="255" t="s">
        <v>63</v>
      </c>
      <c r="I1005" s="31"/>
      <c r="L1005" s="74"/>
    </row>
    <row r="1006" spans="1:12" ht="30" customHeight="1">
      <c r="A1006" s="37">
        <v>654</v>
      </c>
      <c r="B1006" s="40" t="s">
        <v>95</v>
      </c>
      <c r="C1006" s="40" t="s">
        <v>96</v>
      </c>
      <c r="D1006" s="40" t="s">
        <v>62</v>
      </c>
      <c r="E1006" s="41" t="s">
        <v>34</v>
      </c>
      <c r="F1006" s="69">
        <v>25</v>
      </c>
      <c r="G1006" s="42">
        <v>5033</v>
      </c>
      <c r="H1006" s="255" t="s">
        <v>63</v>
      </c>
      <c r="I1006" s="31"/>
      <c r="L1006" s="74"/>
    </row>
    <row r="1007" spans="1:12" ht="30" customHeight="1">
      <c r="A1007" s="37">
        <v>655</v>
      </c>
      <c r="B1007" s="40" t="s">
        <v>667</v>
      </c>
      <c r="C1007" s="40" t="s">
        <v>668</v>
      </c>
      <c r="D1007" s="40" t="s">
        <v>62</v>
      </c>
      <c r="E1007" s="41" t="s">
        <v>34</v>
      </c>
      <c r="F1007" s="69">
        <v>28</v>
      </c>
      <c r="G1007" s="42">
        <v>6240</v>
      </c>
      <c r="H1007" s="255" t="s">
        <v>63</v>
      </c>
      <c r="I1007" s="31"/>
      <c r="L1007" s="74"/>
    </row>
    <row r="1008" spans="1:12" ht="45" customHeight="1">
      <c r="A1008" s="37">
        <v>656</v>
      </c>
      <c r="B1008" s="54" t="s">
        <v>98</v>
      </c>
      <c r="C1008" s="40" t="s">
        <v>61</v>
      </c>
      <c r="D1008" s="40" t="s">
        <v>62</v>
      </c>
      <c r="E1008" s="41" t="s">
        <v>25</v>
      </c>
      <c r="F1008" s="69">
        <v>225</v>
      </c>
      <c r="G1008" s="42">
        <v>4584.58</v>
      </c>
      <c r="H1008" s="255" t="s">
        <v>63</v>
      </c>
      <c r="I1008" s="31"/>
      <c r="L1008" s="74"/>
    </row>
    <row r="1009" spans="1:12" ht="30" customHeight="1">
      <c r="A1009" s="37">
        <v>657</v>
      </c>
      <c r="B1009" s="40" t="s">
        <v>99</v>
      </c>
      <c r="C1009" s="40" t="s">
        <v>100</v>
      </c>
      <c r="D1009" s="40" t="s">
        <v>62</v>
      </c>
      <c r="E1009" s="41" t="s">
        <v>34</v>
      </c>
      <c r="F1009" s="69">
        <v>19</v>
      </c>
      <c r="G1009" s="42">
        <v>5726.97</v>
      </c>
      <c r="H1009" s="255" t="s">
        <v>63</v>
      </c>
      <c r="I1009" s="31"/>
      <c r="L1009" s="74"/>
    </row>
    <row r="1010" spans="1:12" ht="30" customHeight="1">
      <c r="A1010" s="37">
        <v>658</v>
      </c>
      <c r="B1010" s="40" t="s">
        <v>101</v>
      </c>
      <c r="C1010" s="40" t="s">
        <v>102</v>
      </c>
      <c r="D1010" s="40" t="s">
        <v>62</v>
      </c>
      <c r="E1010" s="41" t="s">
        <v>34</v>
      </c>
      <c r="F1010" s="69">
        <v>0.1</v>
      </c>
      <c r="G1010" s="42">
        <v>59.5</v>
      </c>
      <c r="H1010" s="255" t="s">
        <v>63</v>
      </c>
      <c r="I1010" s="31"/>
      <c r="L1010" s="74"/>
    </row>
    <row r="1011" spans="1:12" ht="30" customHeight="1">
      <c r="A1011" s="37">
        <v>659</v>
      </c>
      <c r="B1011" s="40" t="s">
        <v>228</v>
      </c>
      <c r="C1011" s="40" t="s">
        <v>229</v>
      </c>
      <c r="D1011" s="40" t="s">
        <v>62</v>
      </c>
      <c r="E1011" s="41" t="s">
        <v>34</v>
      </c>
      <c r="F1011" s="69">
        <v>60</v>
      </c>
      <c r="G1011" s="42">
        <v>2626</v>
      </c>
      <c r="H1011" s="255" t="s">
        <v>63</v>
      </c>
      <c r="I1011" s="31"/>
      <c r="L1011" s="74"/>
    </row>
    <row r="1012" spans="1:12" ht="30" customHeight="1">
      <c r="A1012" s="37">
        <v>660</v>
      </c>
      <c r="B1012" s="40" t="s">
        <v>103</v>
      </c>
      <c r="C1012" s="40" t="s">
        <v>104</v>
      </c>
      <c r="D1012" s="40" t="s">
        <v>62</v>
      </c>
      <c r="E1012" s="41" t="s">
        <v>25</v>
      </c>
      <c r="F1012" s="69">
        <v>580</v>
      </c>
      <c r="G1012" s="42">
        <v>2691.2</v>
      </c>
      <c r="H1012" s="255" t="s">
        <v>63</v>
      </c>
      <c r="I1012" s="31"/>
      <c r="L1012" s="74"/>
    </row>
    <row r="1013" spans="1:12" ht="30" customHeight="1">
      <c r="A1013" s="37">
        <v>661</v>
      </c>
      <c r="B1013" s="38" t="s">
        <v>105</v>
      </c>
      <c r="C1013" s="40" t="s">
        <v>70</v>
      </c>
      <c r="D1013" s="40" t="s">
        <v>62</v>
      </c>
      <c r="E1013" s="41" t="s">
        <v>34</v>
      </c>
      <c r="F1013" s="69">
        <v>21</v>
      </c>
      <c r="G1013" s="42">
        <v>696.9</v>
      </c>
      <c r="H1013" s="255" t="s">
        <v>63</v>
      </c>
      <c r="I1013" s="31"/>
      <c r="L1013" s="74"/>
    </row>
    <row r="1014" spans="1:12" ht="30" customHeight="1" hidden="1">
      <c r="A1014" s="37"/>
      <c r="B1014" s="45"/>
      <c r="C1014" s="178" t="s">
        <v>106</v>
      </c>
      <c r="D1014" s="179"/>
      <c r="E1014" s="41"/>
      <c r="F1014" s="41"/>
      <c r="G1014" s="42">
        <f>SUM(G987:G1013)</f>
        <v>61190.00000000001</v>
      </c>
      <c r="H1014" s="51"/>
      <c r="I1014" s="31"/>
      <c r="L1014" s="74"/>
    </row>
    <row r="1015" spans="1:9" ht="29.25" customHeight="1">
      <c r="A1015" s="37">
        <v>662</v>
      </c>
      <c r="B1015" s="160" t="s">
        <v>318</v>
      </c>
      <c r="C1015" s="133" t="s">
        <v>108</v>
      </c>
      <c r="D1015" s="133" t="s">
        <v>109</v>
      </c>
      <c r="E1015" s="41" t="s">
        <v>110</v>
      </c>
      <c r="F1015" s="41">
        <v>6</v>
      </c>
      <c r="G1015" s="42">
        <v>566.4</v>
      </c>
      <c r="H1015" s="255" t="s">
        <v>63</v>
      </c>
      <c r="I1015" s="31"/>
    </row>
    <row r="1016" spans="1:12" ht="29.25" customHeight="1">
      <c r="A1016" s="37">
        <v>663</v>
      </c>
      <c r="B1016" s="160" t="s">
        <v>111</v>
      </c>
      <c r="C1016" s="133" t="s">
        <v>112</v>
      </c>
      <c r="D1016" s="133" t="s">
        <v>109</v>
      </c>
      <c r="E1016" s="41" t="s">
        <v>319</v>
      </c>
      <c r="F1016" s="41">
        <v>2400</v>
      </c>
      <c r="G1016" s="42">
        <v>2880</v>
      </c>
      <c r="H1016" s="255" t="s">
        <v>63</v>
      </c>
      <c r="I1016" s="31"/>
      <c r="K1016" s="12">
        <v>700</v>
      </c>
      <c r="L1016" s="74">
        <f aca="true" t="shared" si="13" ref="L1016:L1022">G1016-K1016</f>
        <v>2180</v>
      </c>
    </row>
    <row r="1017" spans="1:12" ht="44.25" customHeight="1">
      <c r="A1017" s="37">
        <v>664</v>
      </c>
      <c r="B1017" s="160" t="s">
        <v>353</v>
      </c>
      <c r="C1017" s="161" t="s">
        <v>242</v>
      </c>
      <c r="D1017" s="133" t="s">
        <v>109</v>
      </c>
      <c r="E1017" s="41" t="s">
        <v>25</v>
      </c>
      <c r="F1017" s="41">
        <v>4</v>
      </c>
      <c r="G1017" s="42">
        <v>650</v>
      </c>
      <c r="H1017" s="255" t="s">
        <v>132</v>
      </c>
      <c r="I1017" s="31"/>
      <c r="L1017" s="74">
        <f t="shared" si="13"/>
        <v>650</v>
      </c>
    </row>
    <row r="1018" spans="1:12" ht="45" customHeight="1">
      <c r="A1018" s="37">
        <v>665</v>
      </c>
      <c r="B1018" s="160" t="s">
        <v>118</v>
      </c>
      <c r="C1018" s="161" t="s">
        <v>119</v>
      </c>
      <c r="D1018" s="133" t="s">
        <v>109</v>
      </c>
      <c r="E1018" s="41" t="s">
        <v>120</v>
      </c>
      <c r="F1018" s="41" t="s">
        <v>121</v>
      </c>
      <c r="G1018" s="42">
        <v>3591.48</v>
      </c>
      <c r="H1018" s="255" t="s">
        <v>63</v>
      </c>
      <c r="I1018" s="31"/>
      <c r="L1018" s="74">
        <f t="shared" si="13"/>
        <v>3591.48</v>
      </c>
    </row>
    <row r="1019" spans="1:12" ht="30" customHeight="1">
      <c r="A1019" s="37">
        <v>666</v>
      </c>
      <c r="B1019" s="160" t="s">
        <v>354</v>
      </c>
      <c r="C1019" s="161" t="s">
        <v>131</v>
      </c>
      <c r="D1019" s="133" t="s">
        <v>109</v>
      </c>
      <c r="E1019" s="41" t="s">
        <v>113</v>
      </c>
      <c r="F1019" s="41">
        <v>3</v>
      </c>
      <c r="G1019" s="42">
        <v>756</v>
      </c>
      <c r="H1019" s="255" t="s">
        <v>132</v>
      </c>
      <c r="I1019" s="31"/>
      <c r="L1019" s="74">
        <f t="shared" si="13"/>
        <v>756</v>
      </c>
    </row>
    <row r="1020" spans="1:12" ht="30" customHeight="1">
      <c r="A1020" s="37">
        <v>667</v>
      </c>
      <c r="B1020" s="160" t="s">
        <v>321</v>
      </c>
      <c r="C1020" s="161" t="s">
        <v>239</v>
      </c>
      <c r="D1020" s="133" t="s">
        <v>109</v>
      </c>
      <c r="E1020" s="41" t="s">
        <v>285</v>
      </c>
      <c r="F1020" s="41">
        <v>2109.9</v>
      </c>
      <c r="G1020" s="42">
        <v>5443.54</v>
      </c>
      <c r="H1020" s="255" t="s">
        <v>19</v>
      </c>
      <c r="I1020" s="31"/>
      <c r="L1020" s="74">
        <f t="shared" si="13"/>
        <v>5443.54</v>
      </c>
    </row>
    <row r="1021" spans="1:12" ht="30" customHeight="1">
      <c r="A1021" s="37">
        <v>668</v>
      </c>
      <c r="B1021" s="160" t="s">
        <v>115</v>
      </c>
      <c r="C1021" s="133" t="s">
        <v>116</v>
      </c>
      <c r="D1021" s="133" t="s">
        <v>109</v>
      </c>
      <c r="E1021" s="41" t="s">
        <v>113</v>
      </c>
      <c r="F1021" s="50" t="s">
        <v>117</v>
      </c>
      <c r="G1021" s="42">
        <v>492</v>
      </c>
      <c r="H1021" s="255" t="s">
        <v>63</v>
      </c>
      <c r="I1021" s="31"/>
      <c r="K1021" s="12">
        <f>154</f>
        <v>154</v>
      </c>
      <c r="L1021" s="74">
        <f t="shared" si="13"/>
        <v>338</v>
      </c>
    </row>
    <row r="1022" spans="1:13" ht="30" customHeight="1">
      <c r="A1022" s="37">
        <v>669</v>
      </c>
      <c r="B1022" s="160" t="s">
        <v>122</v>
      </c>
      <c r="C1022" s="133" t="s">
        <v>123</v>
      </c>
      <c r="D1022" s="133" t="s">
        <v>109</v>
      </c>
      <c r="E1022" s="41" t="s">
        <v>113</v>
      </c>
      <c r="F1022" s="41" t="s">
        <v>117</v>
      </c>
      <c r="G1022" s="42">
        <v>2376</v>
      </c>
      <c r="H1022" s="255" t="s">
        <v>63</v>
      </c>
      <c r="I1022" s="31"/>
      <c r="K1022" s="12">
        <f>801.4</f>
        <v>801.4</v>
      </c>
      <c r="L1022" s="74">
        <f t="shared" si="13"/>
        <v>1574.6</v>
      </c>
      <c r="M1022" s="12">
        <v>1412.88</v>
      </c>
    </row>
    <row r="1023" spans="1:12" ht="30" customHeight="1">
      <c r="A1023" s="37">
        <v>670</v>
      </c>
      <c r="B1023" s="160" t="s">
        <v>320</v>
      </c>
      <c r="C1023" s="133" t="s">
        <v>239</v>
      </c>
      <c r="D1023" s="133" t="s">
        <v>109</v>
      </c>
      <c r="E1023" s="41" t="s">
        <v>285</v>
      </c>
      <c r="F1023" s="41">
        <v>330.6</v>
      </c>
      <c r="G1023" s="42">
        <v>978.58</v>
      </c>
      <c r="H1023" s="255" t="s">
        <v>19</v>
      </c>
      <c r="I1023" s="31"/>
      <c r="L1023" s="74"/>
    </row>
    <row r="1024" spans="1:12" ht="30" customHeight="1" hidden="1">
      <c r="A1024" s="37">
        <v>691</v>
      </c>
      <c r="B1024" s="86" t="s">
        <v>136</v>
      </c>
      <c r="C1024" s="46"/>
      <c r="D1024" s="40"/>
      <c r="E1024" s="41"/>
      <c r="F1024" s="41"/>
      <c r="G1024" s="42">
        <f>SUM(G1015:G1023)</f>
        <v>17734</v>
      </c>
      <c r="H1024" s="51"/>
      <c r="I1024" s="31"/>
      <c r="K1024" s="74">
        <f>SUM(K1015:K1023)</f>
        <v>1655.4</v>
      </c>
      <c r="L1024" s="74" t="e">
        <f>SUM(#REF!)</f>
        <v>#REF!</v>
      </c>
    </row>
    <row r="1025" spans="1:11" ht="30" customHeight="1">
      <c r="A1025" s="37">
        <v>671</v>
      </c>
      <c r="B1025" s="38" t="s">
        <v>137</v>
      </c>
      <c r="C1025" s="52" t="s">
        <v>138</v>
      </c>
      <c r="D1025" s="40" t="s">
        <v>139</v>
      </c>
      <c r="E1025" s="41" t="s">
        <v>140</v>
      </c>
      <c r="F1025" s="53">
        <f>G1025/67.76</f>
        <v>5816.558441558441</v>
      </c>
      <c r="G1025" s="42">
        <v>394130</v>
      </c>
      <c r="H1025" s="40" t="s">
        <v>63</v>
      </c>
      <c r="I1025" s="31"/>
      <c r="K1025" s="12">
        <v>163000</v>
      </c>
    </row>
    <row r="1026" spans="1:9" ht="30" customHeight="1" hidden="1">
      <c r="A1026" s="37">
        <v>693</v>
      </c>
      <c r="B1026" s="45" t="s">
        <v>141</v>
      </c>
      <c r="C1026" s="46"/>
      <c r="D1026" s="40"/>
      <c r="E1026" s="41"/>
      <c r="F1026" s="41"/>
      <c r="G1026" s="42">
        <f>SUM(G1025:G1025)</f>
        <v>394130</v>
      </c>
      <c r="H1026" s="51"/>
      <c r="I1026" s="31"/>
    </row>
    <row r="1027" spans="1:11" ht="30" customHeight="1">
      <c r="A1027" s="37">
        <v>672</v>
      </c>
      <c r="B1027" s="38" t="s">
        <v>142</v>
      </c>
      <c r="C1027" s="54" t="s">
        <v>143</v>
      </c>
      <c r="D1027" s="40" t="s">
        <v>144</v>
      </c>
      <c r="E1027" s="41" t="s">
        <v>145</v>
      </c>
      <c r="F1027" s="56">
        <f>G1027/4.14243</f>
        <v>5741.557491617239</v>
      </c>
      <c r="G1027" s="42">
        <v>23784</v>
      </c>
      <c r="H1027" s="40" t="s">
        <v>63</v>
      </c>
      <c r="I1027" s="31"/>
      <c r="K1027" s="12">
        <f>6830.42</f>
        <v>6830.42</v>
      </c>
    </row>
    <row r="1028" spans="1:9" ht="30" customHeight="1" hidden="1">
      <c r="A1028" s="37"/>
      <c r="B1028" s="45" t="s">
        <v>146</v>
      </c>
      <c r="C1028" s="46"/>
      <c r="D1028" s="40"/>
      <c r="E1028" s="40"/>
      <c r="F1028" s="40"/>
      <c r="G1028" s="42">
        <f>G1027</f>
        <v>23784</v>
      </c>
      <c r="H1028" s="51"/>
      <c r="I1028" s="31"/>
    </row>
    <row r="1029" spans="1:9" ht="32.25" customHeight="1" hidden="1">
      <c r="A1029" s="19"/>
      <c r="B1029" s="208" t="s">
        <v>151</v>
      </c>
      <c r="C1029" s="167"/>
      <c r="D1029" s="168"/>
      <c r="E1029" s="207"/>
      <c r="F1029" s="170"/>
      <c r="G1029" s="110"/>
      <c r="H1029" s="171"/>
      <c r="I1029" s="223"/>
    </row>
    <row r="1030" spans="1:9" ht="32.25" customHeight="1" hidden="1">
      <c r="A1030" s="19"/>
      <c r="B1030" s="167" t="s">
        <v>693</v>
      </c>
      <c r="C1030" s="167"/>
      <c r="D1030" s="225" t="s">
        <v>153</v>
      </c>
      <c r="E1030" s="226"/>
      <c r="F1030" s="170"/>
      <c r="G1030" s="110"/>
      <c r="H1030" s="171"/>
      <c r="I1030" s="223"/>
    </row>
    <row r="1031" spans="1:9" ht="32.25" customHeight="1" hidden="1">
      <c r="A1031" s="19"/>
      <c r="B1031" s="167"/>
      <c r="C1031" s="167"/>
      <c r="D1031" s="227" t="s">
        <v>694</v>
      </c>
      <c r="E1031" s="228" t="s">
        <v>692</v>
      </c>
      <c r="F1031" s="170"/>
      <c r="G1031" s="110"/>
      <c r="H1031" s="171"/>
      <c r="I1031" s="223"/>
    </row>
    <row r="1032" spans="1:9" ht="32.25" customHeight="1" hidden="1">
      <c r="A1032" s="19"/>
      <c r="B1032" s="167" t="s">
        <v>156</v>
      </c>
      <c r="C1032" s="167"/>
      <c r="D1032" s="225" t="s">
        <v>157</v>
      </c>
      <c r="E1032" s="226"/>
      <c r="F1032" s="170"/>
      <c r="G1032" s="110"/>
      <c r="H1032" s="171"/>
      <c r="I1032" s="223"/>
    </row>
    <row r="1033" spans="1:9" ht="32.25" customHeight="1" hidden="1">
      <c r="A1033" s="19"/>
      <c r="B1033" s="167" t="s">
        <v>695</v>
      </c>
      <c r="C1033" s="167"/>
      <c r="D1033" s="168"/>
      <c r="E1033" s="207"/>
      <c r="F1033" s="170"/>
      <c r="G1033" s="110"/>
      <c r="H1033" s="171"/>
      <c r="I1033" s="223"/>
    </row>
    <row r="1034" spans="1:9" ht="32.25" customHeight="1" hidden="1">
      <c r="A1034" s="19"/>
      <c r="B1034" s="229" t="s">
        <v>159</v>
      </c>
      <c r="C1034" s="167"/>
      <c r="D1034" s="225" t="s">
        <v>160</v>
      </c>
      <c r="E1034" s="226"/>
      <c r="F1034" s="170"/>
      <c r="G1034" s="110"/>
      <c r="H1034" s="171"/>
      <c r="I1034" s="223"/>
    </row>
    <row r="1035" spans="1:9" ht="32.25" customHeight="1" hidden="1">
      <c r="A1035" s="19"/>
      <c r="B1035" s="230" t="s">
        <v>161</v>
      </c>
      <c r="C1035" s="167"/>
      <c r="D1035" s="168"/>
      <c r="E1035" s="207"/>
      <c r="F1035" s="170"/>
      <c r="G1035" s="110"/>
      <c r="H1035" s="171"/>
      <c r="I1035" s="223"/>
    </row>
    <row r="1036" spans="1:9" ht="32.25" customHeight="1" hidden="1">
      <c r="A1036" s="19"/>
      <c r="B1036" s="169"/>
      <c r="C1036" s="169"/>
      <c r="D1036" s="170"/>
      <c r="E1036" s="170"/>
      <c r="F1036" s="170"/>
      <c r="G1036" s="110"/>
      <c r="H1036" s="171"/>
      <c r="I1036" s="223"/>
    </row>
    <row r="1037" spans="1:9" ht="32.25" customHeight="1" hidden="1">
      <c r="A1037" s="19"/>
      <c r="B1037" s="19"/>
      <c r="C1037" s="190"/>
      <c r="D1037" s="187"/>
      <c r="E1037" s="187"/>
      <c r="F1037" s="209" t="s">
        <v>1</v>
      </c>
      <c r="G1037" s="209"/>
      <c r="H1037" s="8"/>
      <c r="I1037" s="223"/>
    </row>
    <row r="1038" spans="1:9" ht="35.25" customHeight="1" hidden="1">
      <c r="A1038" s="19"/>
      <c r="B1038" s="190" t="s">
        <v>687</v>
      </c>
      <c r="C1038" s="8"/>
      <c r="D1038" s="187"/>
      <c r="E1038" s="187"/>
      <c r="F1038" s="209"/>
      <c r="G1038" s="209"/>
      <c r="H1038" s="8"/>
      <c r="I1038" s="223"/>
    </row>
    <row r="1039" spans="1:9" ht="32.25" customHeight="1" hidden="1">
      <c r="A1039" s="19"/>
      <c r="B1039" s="167"/>
      <c r="C1039" s="167"/>
      <c r="D1039" s="168"/>
      <c r="E1039" s="207"/>
      <c r="F1039" s="207"/>
      <c r="G1039" s="110"/>
      <c r="H1039" s="8"/>
      <c r="I1039" s="223"/>
    </row>
    <row r="1040" spans="1:9" ht="32.25" customHeight="1" hidden="1">
      <c r="A1040" s="191" t="s">
        <v>297</v>
      </c>
      <c r="B1040" s="191"/>
      <c r="C1040" s="191"/>
      <c r="D1040" s="191"/>
      <c r="E1040" s="191"/>
      <c r="F1040" s="191"/>
      <c r="G1040" s="191"/>
      <c r="H1040" s="191"/>
      <c r="I1040" s="191"/>
    </row>
    <row r="1041" spans="1:9" ht="32.25" customHeight="1" hidden="1">
      <c r="A1041" s="191"/>
      <c r="B1041" s="191"/>
      <c r="C1041" s="191"/>
      <c r="D1041" s="191"/>
      <c r="E1041" s="191"/>
      <c r="F1041" s="191"/>
      <c r="G1041" s="191"/>
      <c r="H1041" s="191"/>
      <c r="I1041" s="191"/>
    </row>
    <row r="1042" spans="1:9" s="7" customFormat="1" ht="29.25" customHeight="1">
      <c r="A1042" s="35" t="s">
        <v>680</v>
      </c>
      <c r="B1042" s="173"/>
      <c r="C1042" s="173"/>
      <c r="D1042" s="173"/>
      <c r="E1042" s="173"/>
      <c r="F1042" s="173"/>
      <c r="G1042" s="173"/>
      <c r="H1042" s="173"/>
      <c r="I1042" s="173"/>
    </row>
    <row r="1043" spans="3:9" ht="12" customHeight="1" hidden="1">
      <c r="C1043" s="124"/>
      <c r="D1043" s="125" t="s">
        <v>4</v>
      </c>
      <c r="E1043" s="124"/>
      <c r="F1043" s="124"/>
      <c r="H1043" s="16"/>
      <c r="I1043" s="16"/>
    </row>
    <row r="1044" spans="5:6" ht="15.75" customHeight="1" hidden="1">
      <c r="E1044" s="3"/>
      <c r="F1044" s="3"/>
    </row>
    <row r="1045" spans="1:11" ht="15.75" customHeight="1" hidden="1">
      <c r="A1045" s="26" t="s">
        <v>5</v>
      </c>
      <c r="B1045" s="27" t="s">
        <v>6</v>
      </c>
      <c r="C1045" s="28" t="s">
        <v>7</v>
      </c>
      <c r="D1045" s="28" t="s">
        <v>249</v>
      </c>
      <c r="E1045" s="28" t="s">
        <v>9</v>
      </c>
      <c r="F1045" s="28" t="s">
        <v>10</v>
      </c>
      <c r="G1045" s="128" t="s">
        <v>250</v>
      </c>
      <c r="H1045" s="28" t="s">
        <v>251</v>
      </c>
      <c r="I1045" s="28" t="s">
        <v>13</v>
      </c>
      <c r="J1045" s="71"/>
      <c r="K1045" s="71"/>
    </row>
    <row r="1046" spans="1:9" ht="31.5" customHeight="1" hidden="1">
      <c r="A1046" s="29"/>
      <c r="B1046" s="30"/>
      <c r="C1046" s="31"/>
      <c r="D1046" s="31"/>
      <c r="E1046" s="31"/>
      <c r="F1046" s="31"/>
      <c r="G1046" s="129"/>
      <c r="H1046" s="31"/>
      <c r="I1046" s="31"/>
    </row>
    <row r="1047" spans="1:9" ht="30" customHeight="1" hidden="1">
      <c r="A1047" s="32"/>
      <c r="B1047" s="33"/>
      <c r="C1047" s="34"/>
      <c r="D1047" s="34"/>
      <c r="E1047" s="34"/>
      <c r="F1047" s="34"/>
      <c r="G1047" s="130"/>
      <c r="H1047" s="34"/>
      <c r="I1047" s="34"/>
    </row>
    <row r="1048" spans="1:15" ht="20.25" customHeight="1" hidden="1">
      <c r="A1048" s="32">
        <v>1</v>
      </c>
      <c r="B1048" s="33">
        <v>2</v>
      </c>
      <c r="C1048" s="34">
        <v>3</v>
      </c>
      <c r="D1048" s="34">
        <v>4</v>
      </c>
      <c r="E1048" s="34">
        <v>5</v>
      </c>
      <c r="F1048" s="34">
        <v>6</v>
      </c>
      <c r="G1048" s="130">
        <v>7</v>
      </c>
      <c r="H1048" s="34">
        <v>8</v>
      </c>
      <c r="I1048" s="72">
        <v>9</v>
      </c>
      <c r="O1048" s="12" t="s">
        <v>298</v>
      </c>
    </row>
    <row r="1049" spans="1:14" ht="30" customHeight="1">
      <c r="A1049" s="37">
        <v>673</v>
      </c>
      <c r="B1049" s="38" t="s">
        <v>299</v>
      </c>
      <c r="C1049" s="39" t="s">
        <v>300</v>
      </c>
      <c r="D1049" s="40" t="s">
        <v>17</v>
      </c>
      <c r="E1049" s="41" t="s">
        <v>18</v>
      </c>
      <c r="F1049" s="41">
        <v>15</v>
      </c>
      <c r="G1049" s="42">
        <v>3150</v>
      </c>
      <c r="H1049" s="40" t="s">
        <v>19</v>
      </c>
      <c r="I1049" s="73" t="s">
        <v>253</v>
      </c>
      <c r="J1049" s="12">
        <f>4</f>
        <v>4</v>
      </c>
      <c r="K1049" s="12">
        <f>1040</f>
        <v>1040</v>
      </c>
      <c r="L1049" s="74">
        <f>G1049-K1049</f>
        <v>2110</v>
      </c>
      <c r="M1049" s="12">
        <v>5</v>
      </c>
      <c r="N1049" s="12">
        <v>1300</v>
      </c>
    </row>
    <row r="1050" spans="1:12" ht="30" customHeight="1">
      <c r="A1050" s="37">
        <v>674</v>
      </c>
      <c r="B1050" s="94" t="s">
        <v>301</v>
      </c>
      <c r="C1050" s="43" t="s">
        <v>302</v>
      </c>
      <c r="D1050" s="40" t="s">
        <v>17</v>
      </c>
      <c r="E1050" s="41" t="s">
        <v>165</v>
      </c>
      <c r="F1050" s="41">
        <v>3</v>
      </c>
      <c r="G1050" s="42">
        <v>1110</v>
      </c>
      <c r="H1050" s="40" t="s">
        <v>19</v>
      </c>
      <c r="I1050" s="100"/>
      <c r="L1050" s="74"/>
    </row>
    <row r="1051" spans="1:12" ht="30" customHeight="1">
      <c r="A1051" s="37">
        <v>675</v>
      </c>
      <c r="B1051" s="256" t="s">
        <v>303</v>
      </c>
      <c r="C1051" s="43" t="s">
        <v>300</v>
      </c>
      <c r="D1051" s="40" t="s">
        <v>17</v>
      </c>
      <c r="E1051" s="41" t="s">
        <v>25</v>
      </c>
      <c r="F1051" s="41">
        <v>26</v>
      </c>
      <c r="G1051" s="42">
        <v>390</v>
      </c>
      <c r="H1051" s="40" t="s">
        <v>19</v>
      </c>
      <c r="I1051" s="100"/>
      <c r="J1051" s="12">
        <v>12</v>
      </c>
      <c r="K1051" s="12">
        <v>720</v>
      </c>
      <c r="L1051" s="74">
        <f>G1051-K1051</f>
        <v>-330</v>
      </c>
    </row>
    <row r="1052" spans="1:12" s="5" customFormat="1" ht="44.25" customHeight="1">
      <c r="A1052" s="37">
        <v>676</v>
      </c>
      <c r="B1052" s="256" t="s">
        <v>304</v>
      </c>
      <c r="C1052" s="43" t="s">
        <v>168</v>
      </c>
      <c r="D1052" s="40" t="s">
        <v>17</v>
      </c>
      <c r="E1052" s="41" t="s">
        <v>25</v>
      </c>
      <c r="F1052" s="41">
        <v>1</v>
      </c>
      <c r="G1052" s="42">
        <v>226.96</v>
      </c>
      <c r="H1052" s="40" t="s">
        <v>19</v>
      </c>
      <c r="I1052" s="100"/>
      <c r="L1052" s="165"/>
    </row>
    <row r="1053" spans="1:12" s="5" customFormat="1" ht="29.25" customHeight="1">
      <c r="A1053" s="37">
        <v>677</v>
      </c>
      <c r="B1053" s="256" t="s">
        <v>305</v>
      </c>
      <c r="C1053" s="43" t="s">
        <v>24</v>
      </c>
      <c r="D1053" s="40" t="s">
        <v>17</v>
      </c>
      <c r="E1053" s="41" t="s">
        <v>306</v>
      </c>
      <c r="F1053" s="41">
        <v>1</v>
      </c>
      <c r="G1053" s="42">
        <v>173</v>
      </c>
      <c r="H1053" s="40" t="s">
        <v>19</v>
      </c>
      <c r="I1053" s="100"/>
      <c r="L1053" s="165"/>
    </row>
    <row r="1054" spans="1:12" s="5" customFormat="1" ht="29.25" customHeight="1">
      <c r="A1054" s="37">
        <v>678</v>
      </c>
      <c r="B1054" s="256" t="s">
        <v>307</v>
      </c>
      <c r="C1054" s="43" t="s">
        <v>308</v>
      </c>
      <c r="D1054" s="40" t="s">
        <v>17</v>
      </c>
      <c r="E1054" s="41" t="s">
        <v>306</v>
      </c>
      <c r="F1054" s="41">
        <v>2</v>
      </c>
      <c r="G1054" s="42">
        <v>118</v>
      </c>
      <c r="H1054" s="40" t="s">
        <v>19</v>
      </c>
      <c r="I1054" s="100"/>
      <c r="L1054" s="165"/>
    </row>
    <row r="1055" spans="1:12" ht="45" customHeight="1">
      <c r="A1055" s="37">
        <v>679</v>
      </c>
      <c r="B1055" s="257" t="s">
        <v>289</v>
      </c>
      <c r="C1055" s="96" t="s">
        <v>308</v>
      </c>
      <c r="D1055" s="40" t="s">
        <v>17</v>
      </c>
      <c r="E1055" s="41" t="s">
        <v>25</v>
      </c>
      <c r="F1055" s="41">
        <v>3</v>
      </c>
      <c r="G1055" s="42">
        <v>526.14</v>
      </c>
      <c r="H1055" s="40" t="s">
        <v>19</v>
      </c>
      <c r="I1055" s="100"/>
      <c r="J1055" s="12">
        <v>45</v>
      </c>
      <c r="K1055" s="12">
        <v>1535.85</v>
      </c>
      <c r="L1055" s="74">
        <f>G1055-K1055</f>
        <v>-1009.7099999999999</v>
      </c>
    </row>
    <row r="1056" spans="1:9" s="5" customFormat="1" ht="45" customHeight="1">
      <c r="A1056" s="37">
        <v>680</v>
      </c>
      <c r="B1056" s="258" t="s">
        <v>309</v>
      </c>
      <c r="C1056" s="43" t="s">
        <v>310</v>
      </c>
      <c r="D1056" s="40" t="s">
        <v>17</v>
      </c>
      <c r="E1056" s="41" t="s">
        <v>25</v>
      </c>
      <c r="F1056" s="56">
        <v>1</v>
      </c>
      <c r="G1056" s="42">
        <v>990</v>
      </c>
      <c r="H1056" s="40" t="s">
        <v>19</v>
      </c>
      <c r="I1056" s="100"/>
    </row>
    <row r="1057" spans="1:9" s="5" customFormat="1" ht="30" customHeight="1">
      <c r="A1057" s="37">
        <v>681</v>
      </c>
      <c r="B1057" s="258" t="s">
        <v>257</v>
      </c>
      <c r="C1057" s="96" t="s">
        <v>311</v>
      </c>
      <c r="D1057" s="40" t="s">
        <v>17</v>
      </c>
      <c r="E1057" s="41" t="s">
        <v>193</v>
      </c>
      <c r="F1057" s="56">
        <v>52</v>
      </c>
      <c r="G1057" s="42">
        <v>6240</v>
      </c>
      <c r="H1057" s="40" t="s">
        <v>19</v>
      </c>
      <c r="I1057" s="100"/>
    </row>
    <row r="1058" spans="1:9" s="5" customFormat="1" ht="30" customHeight="1">
      <c r="A1058" s="37">
        <v>682</v>
      </c>
      <c r="B1058" s="258" t="s">
        <v>312</v>
      </c>
      <c r="C1058" s="96" t="s">
        <v>311</v>
      </c>
      <c r="D1058" s="40" t="s">
        <v>17</v>
      </c>
      <c r="E1058" s="41" t="s">
        <v>313</v>
      </c>
      <c r="F1058" s="56">
        <v>10</v>
      </c>
      <c r="G1058" s="42">
        <v>1000</v>
      </c>
      <c r="H1058" s="40" t="s">
        <v>19</v>
      </c>
      <c r="I1058" s="100"/>
    </row>
    <row r="1059" spans="1:9" s="5" customFormat="1" ht="30" customHeight="1">
      <c r="A1059" s="37">
        <v>683</v>
      </c>
      <c r="B1059" s="258" t="s">
        <v>314</v>
      </c>
      <c r="C1059" s="43" t="s">
        <v>179</v>
      </c>
      <c r="D1059" s="40" t="s">
        <v>17</v>
      </c>
      <c r="E1059" s="41" t="s">
        <v>25</v>
      </c>
      <c r="F1059" s="56">
        <v>3</v>
      </c>
      <c r="G1059" s="42">
        <v>157.5</v>
      </c>
      <c r="H1059" s="40" t="s">
        <v>19</v>
      </c>
      <c r="I1059" s="100"/>
    </row>
    <row r="1060" spans="1:9" s="5" customFormat="1" ht="30" customHeight="1">
      <c r="A1060" s="37">
        <v>684</v>
      </c>
      <c r="B1060" s="258" t="s">
        <v>315</v>
      </c>
      <c r="C1060" s="96" t="s">
        <v>52</v>
      </c>
      <c r="D1060" s="40" t="s">
        <v>17</v>
      </c>
      <c r="E1060" s="41" t="s">
        <v>25</v>
      </c>
      <c r="F1060" s="56">
        <v>20</v>
      </c>
      <c r="G1060" s="42">
        <v>398.2</v>
      </c>
      <c r="H1060" s="40" t="s">
        <v>19</v>
      </c>
      <c r="I1060" s="100"/>
    </row>
    <row r="1061" spans="1:9" s="5" customFormat="1" ht="30" customHeight="1">
      <c r="A1061" s="37">
        <v>685</v>
      </c>
      <c r="B1061" s="140" t="s">
        <v>316</v>
      </c>
      <c r="C1061" s="40" t="s">
        <v>294</v>
      </c>
      <c r="D1061" s="40" t="s">
        <v>17</v>
      </c>
      <c r="E1061" s="41" t="s">
        <v>25</v>
      </c>
      <c r="F1061" s="56">
        <v>4</v>
      </c>
      <c r="G1061" s="42">
        <v>5200</v>
      </c>
      <c r="H1061" s="40" t="s">
        <v>19</v>
      </c>
      <c r="I1061" s="100"/>
    </row>
    <row r="1062" spans="1:9" s="5" customFormat="1" ht="30" customHeight="1">
      <c r="A1062" s="37">
        <v>686</v>
      </c>
      <c r="B1062" s="259" t="s">
        <v>317</v>
      </c>
      <c r="C1062" s="137" t="s">
        <v>44</v>
      </c>
      <c r="D1062" s="40" t="s">
        <v>17</v>
      </c>
      <c r="E1062" s="41" t="s">
        <v>25</v>
      </c>
      <c r="F1062" s="56">
        <v>1</v>
      </c>
      <c r="G1062" s="42">
        <v>380</v>
      </c>
      <c r="H1062" s="40" t="s">
        <v>19</v>
      </c>
      <c r="I1062" s="100"/>
    </row>
    <row r="1063" spans="1:12" ht="30" customHeight="1">
      <c r="A1063" s="37">
        <v>687</v>
      </c>
      <c r="B1063" s="38" t="s">
        <v>57</v>
      </c>
      <c r="C1063" s="40" t="s">
        <v>58</v>
      </c>
      <c r="D1063" s="40" t="s">
        <v>17</v>
      </c>
      <c r="E1063" s="41" t="s">
        <v>25</v>
      </c>
      <c r="F1063" s="41">
        <v>1</v>
      </c>
      <c r="G1063" s="42">
        <v>2500.2</v>
      </c>
      <c r="H1063" s="155" t="s">
        <v>19</v>
      </c>
      <c r="I1063" s="100"/>
      <c r="L1063" s="74"/>
    </row>
    <row r="1064" spans="1:14" s="10" customFormat="1" ht="27" customHeight="1" hidden="1">
      <c r="A1064" s="37">
        <v>710</v>
      </c>
      <c r="B1064" s="260" t="s">
        <v>59</v>
      </c>
      <c r="C1064" s="261"/>
      <c r="D1064" s="262"/>
      <c r="E1064" s="263"/>
      <c r="F1064" s="263"/>
      <c r="G1064" s="264">
        <f>SUM(G1049:G1063)</f>
        <v>22560.000000000004</v>
      </c>
      <c r="H1064" s="265"/>
      <c r="I1064" s="100"/>
      <c r="K1064" s="10">
        <f>SUM(K1049:K1063)</f>
        <v>3295.85</v>
      </c>
      <c r="L1064" s="267">
        <f>G1064-K1064</f>
        <v>19264.150000000005</v>
      </c>
      <c r="M1064" s="10">
        <f>3085+15435.3+4080</f>
        <v>22600.3</v>
      </c>
      <c r="N1064" s="10">
        <f>K1064-M1064</f>
        <v>-19304.45</v>
      </c>
    </row>
    <row r="1065" spans="1:9" ht="29.25" customHeight="1">
      <c r="A1065" s="37">
        <v>688</v>
      </c>
      <c r="B1065" s="38" t="s">
        <v>318</v>
      </c>
      <c r="C1065" s="40" t="s">
        <v>108</v>
      </c>
      <c r="D1065" s="40" t="s">
        <v>109</v>
      </c>
      <c r="E1065" s="41" t="s">
        <v>110</v>
      </c>
      <c r="F1065" s="41">
        <v>1</v>
      </c>
      <c r="G1065" s="42">
        <v>94.4</v>
      </c>
      <c r="H1065" s="40" t="s">
        <v>63</v>
      </c>
      <c r="I1065" s="100"/>
    </row>
    <row r="1066" spans="1:12" ht="29.25" customHeight="1">
      <c r="A1066" s="37">
        <v>689</v>
      </c>
      <c r="B1066" s="38" t="s">
        <v>111</v>
      </c>
      <c r="C1066" s="40" t="s">
        <v>112</v>
      </c>
      <c r="D1066" s="40" t="s">
        <v>109</v>
      </c>
      <c r="E1066" s="41" t="s">
        <v>319</v>
      </c>
      <c r="F1066" s="41">
        <v>1200</v>
      </c>
      <c r="G1066" s="42">
        <v>2880</v>
      </c>
      <c r="H1066" s="40" t="s">
        <v>63</v>
      </c>
      <c r="I1066" s="100"/>
      <c r="K1066" s="12">
        <f>250+300</f>
        <v>550</v>
      </c>
      <c r="L1066" s="74">
        <f>G1066-K1066</f>
        <v>2330</v>
      </c>
    </row>
    <row r="1067" spans="1:12" ht="29.25" customHeight="1">
      <c r="A1067" s="37">
        <v>690</v>
      </c>
      <c r="B1067" s="38" t="s">
        <v>115</v>
      </c>
      <c r="C1067" s="40" t="s">
        <v>116</v>
      </c>
      <c r="D1067" s="40" t="s">
        <v>109</v>
      </c>
      <c r="E1067" s="41" t="s">
        <v>113</v>
      </c>
      <c r="F1067" s="50" t="s">
        <v>117</v>
      </c>
      <c r="G1067" s="42">
        <v>627</v>
      </c>
      <c r="H1067" s="40" t="s">
        <v>63</v>
      </c>
      <c r="I1067" s="100"/>
      <c r="K1067" s="12">
        <v>157.68</v>
      </c>
      <c r="L1067" s="74">
        <f>G1067-K1067</f>
        <v>469.32</v>
      </c>
    </row>
    <row r="1068" spans="1:12" ht="29.25" customHeight="1">
      <c r="A1068" s="37">
        <v>691</v>
      </c>
      <c r="B1068" s="38" t="s">
        <v>320</v>
      </c>
      <c r="C1068" s="40" t="s">
        <v>239</v>
      </c>
      <c r="D1068" s="40" t="s">
        <v>109</v>
      </c>
      <c r="E1068" s="41" t="s">
        <v>285</v>
      </c>
      <c r="F1068" s="41">
        <v>168</v>
      </c>
      <c r="G1068" s="42">
        <v>497.28</v>
      </c>
      <c r="H1068" s="40" t="s">
        <v>19</v>
      </c>
      <c r="I1068" s="100"/>
      <c r="L1068" s="74"/>
    </row>
    <row r="1069" spans="1:12" ht="29.25" customHeight="1">
      <c r="A1069" s="37">
        <v>692</v>
      </c>
      <c r="B1069" s="38" t="s">
        <v>321</v>
      </c>
      <c r="C1069" s="40" t="s">
        <v>239</v>
      </c>
      <c r="D1069" s="40" t="s">
        <v>109</v>
      </c>
      <c r="E1069" s="41" t="s">
        <v>285</v>
      </c>
      <c r="F1069" s="41">
        <v>968.2</v>
      </c>
      <c r="G1069" s="42">
        <v>2497.96</v>
      </c>
      <c r="H1069" s="40" t="s">
        <v>19</v>
      </c>
      <c r="I1069" s="100"/>
      <c r="K1069" s="12">
        <v>2995.24</v>
      </c>
      <c r="L1069" s="74">
        <f>G1069-K1069</f>
        <v>-497.27999999999975</v>
      </c>
    </row>
    <row r="1070" spans="1:12" ht="29.25" customHeight="1">
      <c r="A1070" s="37">
        <v>693</v>
      </c>
      <c r="B1070" s="38" t="s">
        <v>322</v>
      </c>
      <c r="C1070" s="40" t="s">
        <v>323</v>
      </c>
      <c r="D1070" s="40" t="s">
        <v>109</v>
      </c>
      <c r="E1070" s="41" t="s">
        <v>120</v>
      </c>
      <c r="F1070" s="41" t="s">
        <v>324</v>
      </c>
      <c r="G1070" s="42">
        <v>3809.36</v>
      </c>
      <c r="H1070" s="40" t="s">
        <v>63</v>
      </c>
      <c r="I1070" s="100"/>
      <c r="K1070" s="12">
        <f>767.29+671.87</f>
        <v>1439.1599999999999</v>
      </c>
      <c r="L1070" s="74">
        <f>G1070-K1070</f>
        <v>2370.2000000000003</v>
      </c>
    </row>
    <row r="1071" spans="1:13" ht="29.25" customHeight="1">
      <c r="A1071" s="37">
        <v>694</v>
      </c>
      <c r="B1071" s="38" t="s">
        <v>325</v>
      </c>
      <c r="C1071" s="40" t="s">
        <v>326</v>
      </c>
      <c r="D1071" s="40" t="s">
        <v>109</v>
      </c>
      <c r="E1071" s="41" t="s">
        <v>113</v>
      </c>
      <c r="F1071" s="41" t="s">
        <v>117</v>
      </c>
      <c r="G1071" s="42">
        <v>2406</v>
      </c>
      <c r="H1071" s="40" t="s">
        <v>63</v>
      </c>
      <c r="I1071" s="100"/>
      <c r="K1071" s="12">
        <v>470.96</v>
      </c>
      <c r="L1071" s="74">
        <f>G1071-K1071</f>
        <v>1935.04</v>
      </c>
      <c r="M1071" s="12">
        <v>1412.88</v>
      </c>
    </row>
    <row r="1072" spans="1:12" ht="45" customHeight="1">
      <c r="A1072" s="37">
        <v>695</v>
      </c>
      <c r="B1072" s="38" t="s">
        <v>128</v>
      </c>
      <c r="C1072" s="40" t="s">
        <v>129</v>
      </c>
      <c r="D1072" s="40" t="s">
        <v>109</v>
      </c>
      <c r="E1072" s="41" t="s">
        <v>25</v>
      </c>
      <c r="F1072" s="41">
        <v>1</v>
      </c>
      <c r="G1072" s="163">
        <v>57174</v>
      </c>
      <c r="H1072" s="155" t="s">
        <v>63</v>
      </c>
      <c r="I1072" s="100"/>
      <c r="L1072" s="74"/>
    </row>
    <row r="1073" spans="1:12" ht="45" customHeight="1">
      <c r="A1073" s="37">
        <v>696</v>
      </c>
      <c r="B1073" s="266" t="s">
        <v>327</v>
      </c>
      <c r="C1073" s="40" t="s">
        <v>328</v>
      </c>
      <c r="D1073" s="40" t="s">
        <v>109</v>
      </c>
      <c r="E1073" s="41" t="s">
        <v>25</v>
      </c>
      <c r="F1073" s="41">
        <v>4</v>
      </c>
      <c r="G1073" s="42">
        <v>650</v>
      </c>
      <c r="H1073" s="40" t="s">
        <v>132</v>
      </c>
      <c r="I1073" s="100"/>
      <c r="L1073" s="74"/>
    </row>
    <row r="1074" spans="1:12" ht="30" customHeight="1">
      <c r="A1074" s="37">
        <v>697</v>
      </c>
      <c r="B1074" s="38" t="s">
        <v>130</v>
      </c>
      <c r="C1074" s="40" t="s">
        <v>131</v>
      </c>
      <c r="D1074" s="40" t="s">
        <v>109</v>
      </c>
      <c r="E1074" s="41" t="s">
        <v>25</v>
      </c>
      <c r="F1074" s="41">
        <v>3</v>
      </c>
      <c r="G1074" s="42">
        <v>840</v>
      </c>
      <c r="H1074" s="40" t="s">
        <v>132</v>
      </c>
      <c r="I1074" s="100"/>
      <c r="K1074" s="12">
        <f>280+280+560+560</f>
        <v>1680</v>
      </c>
      <c r="L1074" s="74">
        <f>G1074-K1074</f>
        <v>-840</v>
      </c>
    </row>
    <row r="1075" spans="1:12" ht="30" customHeight="1" hidden="1">
      <c r="A1075" s="37">
        <v>721</v>
      </c>
      <c r="B1075" s="45" t="s">
        <v>136</v>
      </c>
      <c r="C1075" s="46"/>
      <c r="D1075" s="40"/>
      <c r="E1075" s="41"/>
      <c r="F1075" s="41"/>
      <c r="G1075" s="42">
        <f>SUM(G1065:G1074)</f>
        <v>71476</v>
      </c>
      <c r="H1075" s="51"/>
      <c r="I1075" s="100"/>
      <c r="K1075" s="74">
        <f>SUM(K1065:K1074)</f>
        <v>7293.04</v>
      </c>
      <c r="L1075" s="74">
        <f>SUM(L1066:L1074)</f>
        <v>5767.280000000001</v>
      </c>
    </row>
    <row r="1076" spans="1:11" ht="30" customHeight="1">
      <c r="A1076" s="37">
        <v>698</v>
      </c>
      <c r="B1076" s="38" t="s">
        <v>137</v>
      </c>
      <c r="C1076" s="52" t="s">
        <v>138</v>
      </c>
      <c r="D1076" s="40" t="s">
        <v>139</v>
      </c>
      <c r="E1076" s="41" t="s">
        <v>140</v>
      </c>
      <c r="F1076" s="53">
        <f>G1076/67.76</f>
        <v>4279.073199527745</v>
      </c>
      <c r="G1076" s="42">
        <v>289950</v>
      </c>
      <c r="H1076" s="40" t="s">
        <v>63</v>
      </c>
      <c r="I1076" s="100"/>
      <c r="K1076" s="74">
        <f>119950</f>
        <v>119950</v>
      </c>
    </row>
    <row r="1077" spans="1:9" ht="30" customHeight="1" hidden="1">
      <c r="A1077" s="37">
        <v>723</v>
      </c>
      <c r="B1077" s="45" t="s">
        <v>141</v>
      </c>
      <c r="C1077" s="46"/>
      <c r="D1077" s="40"/>
      <c r="E1077" s="41"/>
      <c r="F1077" s="41"/>
      <c r="G1077" s="42">
        <f>SUM(G1076:G1076)</f>
        <v>289950</v>
      </c>
      <c r="H1077" s="51"/>
      <c r="I1077" s="100"/>
    </row>
    <row r="1078" spans="1:9" ht="30" customHeight="1">
      <c r="A1078" s="37">
        <v>699</v>
      </c>
      <c r="B1078" s="38" t="s">
        <v>142</v>
      </c>
      <c r="C1078" s="54" t="s">
        <v>143</v>
      </c>
      <c r="D1078" s="40" t="s">
        <v>144</v>
      </c>
      <c r="E1078" s="41" t="s">
        <v>145</v>
      </c>
      <c r="F1078" s="56">
        <f>G1078/4.143</f>
        <v>2074.583635047067</v>
      </c>
      <c r="G1078" s="42">
        <v>8595</v>
      </c>
      <c r="H1078" s="40" t="s">
        <v>63</v>
      </c>
      <c r="I1078" s="100"/>
    </row>
    <row r="1079" spans="1:9" ht="30" customHeight="1" hidden="1">
      <c r="A1079" s="37"/>
      <c r="B1079" s="45" t="s">
        <v>146</v>
      </c>
      <c r="C1079" s="46"/>
      <c r="D1079" s="40"/>
      <c r="E1079" s="41"/>
      <c r="F1079" s="41"/>
      <c r="G1079" s="42">
        <f>G1078</f>
        <v>8595</v>
      </c>
      <c r="H1079" s="51"/>
      <c r="I1079" s="100"/>
    </row>
    <row r="1080" spans="1:9" ht="32.25" customHeight="1" hidden="1">
      <c r="A1080" s="19"/>
      <c r="B1080" s="169"/>
      <c r="C1080" s="169"/>
      <c r="D1080" s="170"/>
      <c r="E1080" s="167"/>
      <c r="F1080" s="167"/>
      <c r="G1080" s="110"/>
      <c r="H1080" s="171"/>
      <c r="I1080" s="223"/>
    </row>
    <row r="1081" spans="1:9" ht="32.25" customHeight="1" hidden="1">
      <c r="A1081" s="19"/>
      <c r="B1081" s="208" t="s">
        <v>151</v>
      </c>
      <c r="C1081" s="167"/>
      <c r="D1081" s="168"/>
      <c r="E1081" s="207"/>
      <c r="F1081" s="170"/>
      <c r="G1081" s="110"/>
      <c r="H1081" s="171"/>
      <c r="I1081" s="223"/>
    </row>
    <row r="1082" spans="1:9" ht="32.25" customHeight="1" hidden="1">
      <c r="A1082" s="19"/>
      <c r="B1082" s="167" t="s">
        <v>693</v>
      </c>
      <c r="C1082" s="167"/>
      <c r="D1082" s="225" t="s">
        <v>153</v>
      </c>
      <c r="E1082" s="226"/>
      <c r="F1082" s="170"/>
      <c r="G1082" s="110"/>
      <c r="H1082" s="171"/>
      <c r="I1082" s="223"/>
    </row>
    <row r="1083" spans="1:9" ht="32.25" customHeight="1" hidden="1">
      <c r="A1083" s="19"/>
      <c r="B1083" s="167"/>
      <c r="C1083" s="167"/>
      <c r="D1083" s="227" t="s">
        <v>694</v>
      </c>
      <c r="E1083" s="228" t="s">
        <v>692</v>
      </c>
      <c r="F1083" s="170"/>
      <c r="G1083" s="110"/>
      <c r="H1083" s="171"/>
      <c r="I1083" s="223"/>
    </row>
    <row r="1084" spans="1:9" ht="32.25" customHeight="1" hidden="1">
      <c r="A1084" s="19"/>
      <c r="B1084" s="167" t="s">
        <v>156</v>
      </c>
      <c r="C1084" s="167"/>
      <c r="D1084" s="225" t="s">
        <v>157</v>
      </c>
      <c r="E1084" s="226"/>
      <c r="F1084" s="170"/>
      <c r="G1084" s="110"/>
      <c r="H1084" s="171"/>
      <c r="I1084" s="223"/>
    </row>
    <row r="1085" spans="1:9" ht="32.25" customHeight="1" hidden="1">
      <c r="A1085" s="19"/>
      <c r="B1085" s="167" t="s">
        <v>695</v>
      </c>
      <c r="C1085" s="167"/>
      <c r="D1085" s="168"/>
      <c r="E1085" s="207"/>
      <c r="F1085" s="170"/>
      <c r="G1085" s="110"/>
      <c r="H1085" s="171"/>
      <c r="I1085" s="223"/>
    </row>
    <row r="1086" spans="1:9" ht="32.25" customHeight="1" hidden="1">
      <c r="A1086" s="19"/>
      <c r="B1086" s="229" t="s">
        <v>159</v>
      </c>
      <c r="C1086" s="167"/>
      <c r="D1086" s="225" t="s">
        <v>160</v>
      </c>
      <c r="E1086" s="226"/>
      <c r="F1086" s="170"/>
      <c r="G1086" s="110"/>
      <c r="H1086" s="171"/>
      <c r="I1086" s="223"/>
    </row>
    <row r="1087" spans="1:9" ht="32.25" customHeight="1" hidden="1">
      <c r="A1087" s="19"/>
      <c r="B1087" s="230" t="s">
        <v>161</v>
      </c>
      <c r="C1087" s="167"/>
      <c r="D1087" s="168"/>
      <c r="E1087" s="207"/>
      <c r="F1087" s="170"/>
      <c r="G1087" s="110"/>
      <c r="H1087" s="171"/>
      <c r="I1087" s="223"/>
    </row>
    <row r="1088" spans="1:9" ht="32.25" customHeight="1" hidden="1">
      <c r="A1088" s="19"/>
      <c r="B1088" s="169"/>
      <c r="C1088" s="169"/>
      <c r="D1088" s="170"/>
      <c r="E1088" s="170"/>
      <c r="F1088" s="170"/>
      <c r="G1088" s="110"/>
      <c r="H1088" s="171"/>
      <c r="I1088" s="223"/>
    </row>
    <row r="1089" spans="1:9" ht="32.25" customHeight="1" hidden="1">
      <c r="A1089" s="19"/>
      <c r="B1089" s="19"/>
      <c r="C1089" s="190"/>
      <c r="D1089" s="187"/>
      <c r="E1089" s="187"/>
      <c r="F1089" s="209" t="s">
        <v>1</v>
      </c>
      <c r="G1089" s="209"/>
      <c r="H1089" s="8"/>
      <c r="I1089" s="223"/>
    </row>
    <row r="1090" spans="1:9" ht="32.25" customHeight="1" hidden="1">
      <c r="A1090" s="19"/>
      <c r="B1090" s="190" t="s">
        <v>687</v>
      </c>
      <c r="C1090" s="8"/>
      <c r="D1090" s="187"/>
      <c r="E1090" s="187"/>
      <c r="F1090" s="209"/>
      <c r="G1090" s="209"/>
      <c r="H1090" s="8"/>
      <c r="I1090" s="223"/>
    </row>
    <row r="1091" spans="1:9" ht="32.25" customHeight="1" hidden="1">
      <c r="A1091" s="19"/>
      <c r="B1091" s="167"/>
      <c r="C1091" s="167"/>
      <c r="D1091" s="168"/>
      <c r="E1091" s="207"/>
      <c r="F1091" s="207"/>
      <c r="G1091" s="110"/>
      <c r="H1091" s="8"/>
      <c r="I1091" s="223"/>
    </row>
    <row r="1092" spans="1:9" ht="32.25" customHeight="1" hidden="1">
      <c r="A1092" s="191" t="s">
        <v>287</v>
      </c>
      <c r="B1092" s="191"/>
      <c r="C1092" s="191"/>
      <c r="D1092" s="191"/>
      <c r="E1092" s="191"/>
      <c r="F1092" s="191"/>
      <c r="G1092" s="191"/>
      <c r="H1092" s="191"/>
      <c r="I1092" s="191"/>
    </row>
    <row r="1093" spans="1:9" ht="18" customHeight="1" hidden="1">
      <c r="A1093" s="191"/>
      <c r="B1093" s="191"/>
      <c r="C1093" s="191"/>
      <c r="D1093" s="191"/>
      <c r="E1093" s="191"/>
      <c r="F1093" s="191"/>
      <c r="G1093" s="191"/>
      <c r="H1093" s="191"/>
      <c r="I1093" s="191"/>
    </row>
    <row r="1094" spans="1:9" s="7" customFormat="1" ht="29.25" customHeight="1">
      <c r="A1094" s="35" t="s">
        <v>288</v>
      </c>
      <c r="B1094" s="173"/>
      <c r="C1094" s="173"/>
      <c r="D1094" s="173"/>
      <c r="E1094" s="173"/>
      <c r="F1094" s="173"/>
      <c r="G1094" s="173"/>
      <c r="H1094" s="173"/>
      <c r="I1094" s="173"/>
    </row>
    <row r="1095" spans="3:9" ht="32.25" customHeight="1" hidden="1">
      <c r="C1095" s="124"/>
      <c r="D1095" s="268" t="s">
        <v>4</v>
      </c>
      <c r="E1095" s="124"/>
      <c r="F1095" s="124"/>
      <c r="H1095" s="16"/>
      <c r="I1095" s="16"/>
    </row>
    <row r="1096" ht="15.75" customHeight="1" hidden="1"/>
    <row r="1097" spans="1:11" ht="15.75" customHeight="1" hidden="1">
      <c r="A1097" s="26" t="s">
        <v>5</v>
      </c>
      <c r="B1097" s="27" t="s">
        <v>6</v>
      </c>
      <c r="C1097" s="28" t="s">
        <v>7</v>
      </c>
      <c r="D1097" s="28" t="s">
        <v>249</v>
      </c>
      <c r="E1097" s="28" t="s">
        <v>9</v>
      </c>
      <c r="F1097" s="28" t="s">
        <v>10</v>
      </c>
      <c r="G1097" s="128" t="s">
        <v>250</v>
      </c>
      <c r="H1097" s="28" t="s">
        <v>251</v>
      </c>
      <c r="I1097" s="28" t="s">
        <v>13</v>
      </c>
      <c r="J1097" s="71"/>
      <c r="K1097" s="71"/>
    </row>
    <row r="1098" spans="1:9" ht="31.5" customHeight="1" hidden="1">
      <c r="A1098" s="29"/>
      <c r="B1098" s="30"/>
      <c r="C1098" s="31"/>
      <c r="D1098" s="31"/>
      <c r="E1098" s="31"/>
      <c r="F1098" s="31"/>
      <c r="G1098" s="129"/>
      <c r="H1098" s="31"/>
      <c r="I1098" s="31"/>
    </row>
    <row r="1099" spans="1:9" ht="45" customHeight="1" hidden="1">
      <c r="A1099" s="32"/>
      <c r="B1099" s="33"/>
      <c r="C1099" s="34"/>
      <c r="D1099" s="34"/>
      <c r="E1099" s="34"/>
      <c r="F1099" s="34"/>
      <c r="G1099" s="130"/>
      <c r="H1099" s="34"/>
      <c r="I1099" s="34"/>
    </row>
    <row r="1100" spans="1:9" ht="20.25" customHeight="1" hidden="1">
      <c r="A1100" s="32">
        <v>1</v>
      </c>
      <c r="B1100" s="33">
        <v>2</v>
      </c>
      <c r="C1100" s="34">
        <v>3</v>
      </c>
      <c r="D1100" s="34">
        <v>4</v>
      </c>
      <c r="E1100" s="34">
        <v>5</v>
      </c>
      <c r="F1100" s="34">
        <v>6</v>
      </c>
      <c r="G1100" s="130">
        <v>7</v>
      </c>
      <c r="H1100" s="34">
        <v>8</v>
      </c>
      <c r="I1100" s="72">
        <v>9</v>
      </c>
    </row>
    <row r="1101" spans="1:12" s="11" customFormat="1" ht="30" customHeight="1">
      <c r="A1101" s="269">
        <v>700</v>
      </c>
      <c r="B1101" s="270" t="s">
        <v>15</v>
      </c>
      <c r="C1101" s="137" t="s">
        <v>16</v>
      </c>
      <c r="D1101" s="137" t="s">
        <v>17</v>
      </c>
      <c r="E1101" s="138" t="s">
        <v>18</v>
      </c>
      <c r="F1101" s="138">
        <v>9</v>
      </c>
      <c r="G1101" s="139">
        <v>1890</v>
      </c>
      <c r="H1101" s="137" t="s">
        <v>19</v>
      </c>
      <c r="I1101" s="224" t="s">
        <v>253</v>
      </c>
      <c r="L1101" s="275">
        <f>G1101-K1101</f>
        <v>1890</v>
      </c>
    </row>
    <row r="1102" spans="1:12" s="11" customFormat="1" ht="30" customHeight="1">
      <c r="A1102" s="269">
        <v>701</v>
      </c>
      <c r="B1102" s="174" t="s">
        <v>23</v>
      </c>
      <c r="C1102" s="137" t="s">
        <v>24</v>
      </c>
      <c r="D1102" s="137" t="s">
        <v>17</v>
      </c>
      <c r="E1102" s="138" t="s">
        <v>25</v>
      </c>
      <c r="F1102" s="138">
        <v>2</v>
      </c>
      <c r="G1102" s="139">
        <v>348.9</v>
      </c>
      <c r="H1102" s="137" t="s">
        <v>19</v>
      </c>
      <c r="I1102" s="224"/>
      <c r="L1102" s="275"/>
    </row>
    <row r="1103" spans="1:12" s="11" customFormat="1" ht="45" customHeight="1">
      <c r="A1103" s="269">
        <v>702</v>
      </c>
      <c r="B1103" s="257" t="s">
        <v>289</v>
      </c>
      <c r="C1103" s="137" t="s">
        <v>27</v>
      </c>
      <c r="D1103" s="137" t="s">
        <v>17</v>
      </c>
      <c r="E1103" s="138" t="s">
        <v>25</v>
      </c>
      <c r="F1103" s="138">
        <v>4</v>
      </c>
      <c r="G1103" s="139">
        <v>703.52</v>
      </c>
      <c r="H1103" s="137" t="s">
        <v>19</v>
      </c>
      <c r="I1103" s="224"/>
      <c r="L1103" s="275"/>
    </row>
    <row r="1104" spans="1:12" s="11" customFormat="1" ht="30" customHeight="1">
      <c r="A1104" s="269">
        <v>703</v>
      </c>
      <c r="B1104" s="174" t="s">
        <v>290</v>
      </c>
      <c r="C1104" s="137" t="s">
        <v>24</v>
      </c>
      <c r="D1104" s="137" t="s">
        <v>17</v>
      </c>
      <c r="E1104" s="138" t="s">
        <v>22</v>
      </c>
      <c r="F1104" s="138">
        <v>2</v>
      </c>
      <c r="G1104" s="139">
        <v>96.92</v>
      </c>
      <c r="H1104" s="137" t="s">
        <v>19</v>
      </c>
      <c r="I1104" s="224"/>
      <c r="L1104" s="275"/>
    </row>
    <row r="1105" spans="1:12" s="11" customFormat="1" ht="30" customHeight="1">
      <c r="A1105" s="269">
        <v>704</v>
      </c>
      <c r="B1105" s="214" t="s">
        <v>291</v>
      </c>
      <c r="C1105" s="137" t="s">
        <v>24</v>
      </c>
      <c r="D1105" s="137" t="s">
        <v>17</v>
      </c>
      <c r="E1105" s="138" t="s">
        <v>22</v>
      </c>
      <c r="F1105" s="138">
        <v>2</v>
      </c>
      <c r="G1105" s="139">
        <v>70.36</v>
      </c>
      <c r="H1105" s="137" t="s">
        <v>19</v>
      </c>
      <c r="I1105" s="224"/>
      <c r="L1105" s="275"/>
    </row>
    <row r="1106" spans="1:12" s="11" customFormat="1" ht="45" customHeight="1">
      <c r="A1106" s="269">
        <v>705</v>
      </c>
      <c r="B1106" s="174" t="s">
        <v>292</v>
      </c>
      <c r="C1106" s="137" t="s">
        <v>47</v>
      </c>
      <c r="D1106" s="137" t="s">
        <v>17</v>
      </c>
      <c r="E1106" s="138" t="s">
        <v>25</v>
      </c>
      <c r="F1106" s="138">
        <v>10</v>
      </c>
      <c r="G1106" s="139">
        <v>550.1</v>
      </c>
      <c r="H1106" s="137" t="s">
        <v>19</v>
      </c>
      <c r="I1106" s="224"/>
      <c r="L1106" s="275"/>
    </row>
    <row r="1107" spans="1:12" s="11" customFormat="1" ht="30" customHeight="1">
      <c r="A1107" s="269">
        <v>706</v>
      </c>
      <c r="B1107" s="174" t="s">
        <v>293</v>
      </c>
      <c r="C1107" s="270" t="s">
        <v>294</v>
      </c>
      <c r="D1107" s="137" t="s">
        <v>17</v>
      </c>
      <c r="E1107" s="138" t="s">
        <v>25</v>
      </c>
      <c r="F1107" s="138">
        <v>9</v>
      </c>
      <c r="G1107" s="139">
        <v>10800</v>
      </c>
      <c r="H1107" s="137" t="s">
        <v>19</v>
      </c>
      <c r="I1107" s="224"/>
      <c r="L1107" s="275"/>
    </row>
    <row r="1108" spans="1:12" s="11" customFormat="1" ht="30" customHeight="1">
      <c r="A1108" s="269">
        <v>707</v>
      </c>
      <c r="B1108" s="174" t="s">
        <v>257</v>
      </c>
      <c r="C1108" s="270" t="s">
        <v>33</v>
      </c>
      <c r="D1108" s="137" t="s">
        <v>17</v>
      </c>
      <c r="E1108" s="138" t="s">
        <v>193</v>
      </c>
      <c r="F1108" s="138">
        <v>126</v>
      </c>
      <c r="G1108" s="139">
        <v>15120</v>
      </c>
      <c r="H1108" s="137" t="s">
        <v>19</v>
      </c>
      <c r="I1108" s="224"/>
      <c r="L1108" s="275"/>
    </row>
    <row r="1109" spans="1:12" ht="30" customHeight="1">
      <c r="A1109" s="269">
        <v>708</v>
      </c>
      <c r="B1109" s="38" t="s">
        <v>57</v>
      </c>
      <c r="C1109" s="40" t="s">
        <v>58</v>
      </c>
      <c r="D1109" s="40" t="s">
        <v>17</v>
      </c>
      <c r="E1109" s="41" t="s">
        <v>25</v>
      </c>
      <c r="F1109" s="41">
        <v>1</v>
      </c>
      <c r="G1109" s="42">
        <v>2500.2</v>
      </c>
      <c r="H1109" s="155" t="s">
        <v>19</v>
      </c>
      <c r="I1109" s="224"/>
      <c r="L1109" s="74"/>
    </row>
    <row r="1110" spans="1:14" ht="32.25" customHeight="1" hidden="1">
      <c r="A1110" s="37"/>
      <c r="B1110" s="45" t="s">
        <v>59</v>
      </c>
      <c r="C1110" s="46"/>
      <c r="D1110" s="40"/>
      <c r="E1110" s="41"/>
      <c r="F1110" s="41"/>
      <c r="G1110" s="42">
        <f>SUM(G1101:G1109)</f>
        <v>32080</v>
      </c>
      <c r="H1110" s="51"/>
      <c r="I1110" s="224"/>
      <c r="K1110" s="74">
        <f>SUM(K1101:K1109)</f>
        <v>0</v>
      </c>
      <c r="L1110" s="74">
        <f>G1110-K1110</f>
        <v>32080</v>
      </c>
      <c r="N1110" s="74">
        <f>K1110-M1110</f>
        <v>0</v>
      </c>
    </row>
    <row r="1111" spans="1:14" ht="30" customHeight="1">
      <c r="A1111" s="37">
        <v>709</v>
      </c>
      <c r="B1111" s="38" t="s">
        <v>268</v>
      </c>
      <c r="C1111" s="40" t="s">
        <v>70</v>
      </c>
      <c r="D1111" s="40" t="s">
        <v>62</v>
      </c>
      <c r="E1111" s="41" t="s">
        <v>34</v>
      </c>
      <c r="F1111" s="69">
        <v>2</v>
      </c>
      <c r="G1111" s="42">
        <v>40</v>
      </c>
      <c r="H1111" s="137" t="s">
        <v>63</v>
      </c>
      <c r="I1111" s="224"/>
      <c r="K1111" s="74"/>
      <c r="L1111" s="74"/>
      <c r="N1111" s="74"/>
    </row>
    <row r="1112" spans="1:14" ht="30" customHeight="1">
      <c r="A1112" s="37">
        <v>710</v>
      </c>
      <c r="B1112" s="38" t="s">
        <v>216</v>
      </c>
      <c r="C1112" s="40" t="s">
        <v>217</v>
      </c>
      <c r="D1112" s="40" t="s">
        <v>62</v>
      </c>
      <c r="E1112" s="41" t="s">
        <v>34</v>
      </c>
      <c r="F1112" s="69">
        <v>5</v>
      </c>
      <c r="G1112" s="42">
        <v>104.5</v>
      </c>
      <c r="H1112" s="137" t="s">
        <v>63</v>
      </c>
      <c r="I1112" s="224"/>
      <c r="K1112" s="74"/>
      <c r="L1112" s="74"/>
      <c r="N1112" s="74"/>
    </row>
    <row r="1113" spans="1:14" ht="30" customHeight="1">
      <c r="A1113" s="37">
        <v>711</v>
      </c>
      <c r="B1113" s="38" t="s">
        <v>64</v>
      </c>
      <c r="C1113" s="40" t="s">
        <v>65</v>
      </c>
      <c r="D1113" s="40" t="s">
        <v>62</v>
      </c>
      <c r="E1113" s="41" t="s">
        <v>34</v>
      </c>
      <c r="F1113" s="69">
        <v>300</v>
      </c>
      <c r="G1113" s="42">
        <v>5110</v>
      </c>
      <c r="H1113" s="137" t="s">
        <v>63</v>
      </c>
      <c r="I1113" s="224"/>
      <c r="K1113" s="74"/>
      <c r="L1113" s="74"/>
      <c r="N1113" s="74"/>
    </row>
    <row r="1114" spans="1:14" ht="30" customHeight="1">
      <c r="A1114" s="37">
        <v>712</v>
      </c>
      <c r="B1114" s="38" t="s">
        <v>71</v>
      </c>
      <c r="C1114" s="71" t="s">
        <v>72</v>
      </c>
      <c r="D1114" s="40" t="s">
        <v>62</v>
      </c>
      <c r="E1114" s="41" t="s">
        <v>34</v>
      </c>
      <c r="F1114" s="69">
        <v>25</v>
      </c>
      <c r="G1114" s="42">
        <v>399.5</v>
      </c>
      <c r="H1114" s="137" t="s">
        <v>63</v>
      </c>
      <c r="I1114" s="224"/>
      <c r="K1114" s="74"/>
      <c r="L1114" s="74"/>
      <c r="N1114" s="74"/>
    </row>
    <row r="1115" spans="1:14" ht="45" customHeight="1">
      <c r="A1115" s="37">
        <v>713</v>
      </c>
      <c r="B1115" s="38" t="s">
        <v>73</v>
      </c>
      <c r="C1115" s="40" t="s">
        <v>74</v>
      </c>
      <c r="D1115" s="40" t="s">
        <v>62</v>
      </c>
      <c r="E1115" s="41" t="s">
        <v>34</v>
      </c>
      <c r="F1115" s="69">
        <v>20</v>
      </c>
      <c r="G1115" s="42">
        <v>469.8</v>
      </c>
      <c r="H1115" s="137" t="s">
        <v>63</v>
      </c>
      <c r="I1115" s="224"/>
      <c r="K1115" s="74"/>
      <c r="L1115" s="74"/>
      <c r="N1115" s="74"/>
    </row>
    <row r="1116" spans="1:14" ht="30" customHeight="1">
      <c r="A1116" s="37">
        <v>714</v>
      </c>
      <c r="B1116" s="38" t="s">
        <v>75</v>
      </c>
      <c r="C1116" s="71" t="s">
        <v>76</v>
      </c>
      <c r="D1116" s="40" t="s">
        <v>62</v>
      </c>
      <c r="E1116" s="41" t="s">
        <v>77</v>
      </c>
      <c r="F1116" s="69">
        <v>10</v>
      </c>
      <c r="G1116" s="42">
        <v>751.5</v>
      </c>
      <c r="H1116" s="137" t="s">
        <v>63</v>
      </c>
      <c r="I1116" s="224"/>
      <c r="K1116" s="74"/>
      <c r="L1116" s="74"/>
      <c r="N1116" s="74"/>
    </row>
    <row r="1117" spans="1:14" ht="30" customHeight="1">
      <c r="A1117" s="37">
        <v>715</v>
      </c>
      <c r="B1117" s="38" t="s">
        <v>78</v>
      </c>
      <c r="C1117" s="40" t="s">
        <v>79</v>
      </c>
      <c r="D1117" s="40" t="s">
        <v>62</v>
      </c>
      <c r="E1117" s="41" t="s">
        <v>34</v>
      </c>
      <c r="F1117" s="69">
        <v>14</v>
      </c>
      <c r="G1117" s="42">
        <v>4309.1</v>
      </c>
      <c r="H1117" s="137" t="s">
        <v>63</v>
      </c>
      <c r="I1117" s="224"/>
      <c r="K1117" s="74"/>
      <c r="L1117" s="74"/>
      <c r="N1117" s="74"/>
    </row>
    <row r="1118" spans="1:14" ht="45" customHeight="1">
      <c r="A1118" s="37">
        <v>716</v>
      </c>
      <c r="B1118" s="38" t="s">
        <v>80</v>
      </c>
      <c r="C1118" s="40" t="s">
        <v>81</v>
      </c>
      <c r="D1118" s="40" t="s">
        <v>62</v>
      </c>
      <c r="E1118" s="41" t="s">
        <v>82</v>
      </c>
      <c r="F1118" s="69">
        <v>18.9</v>
      </c>
      <c r="G1118" s="42">
        <v>766.62</v>
      </c>
      <c r="H1118" s="137" t="s">
        <v>63</v>
      </c>
      <c r="I1118" s="224"/>
      <c r="K1118" s="74"/>
      <c r="L1118" s="74"/>
      <c r="N1118" s="74"/>
    </row>
    <row r="1119" spans="1:14" ht="30" customHeight="1">
      <c r="A1119" s="37">
        <v>717</v>
      </c>
      <c r="B1119" s="38" t="s">
        <v>83</v>
      </c>
      <c r="C1119" s="40" t="s">
        <v>72</v>
      </c>
      <c r="D1119" s="40" t="s">
        <v>62</v>
      </c>
      <c r="E1119" s="41" t="s">
        <v>34</v>
      </c>
      <c r="F1119" s="69">
        <v>29</v>
      </c>
      <c r="G1119" s="42">
        <v>756.3</v>
      </c>
      <c r="H1119" s="137" t="s">
        <v>63</v>
      </c>
      <c r="I1119" s="224"/>
      <c r="K1119" s="74"/>
      <c r="L1119" s="74"/>
      <c r="N1119" s="74"/>
    </row>
    <row r="1120" spans="1:14" ht="30" customHeight="1">
      <c r="A1120" s="37">
        <v>718</v>
      </c>
      <c r="B1120" s="38" t="s">
        <v>665</v>
      </c>
      <c r="C1120" s="40" t="s">
        <v>666</v>
      </c>
      <c r="D1120" s="40" t="s">
        <v>62</v>
      </c>
      <c r="E1120" s="41" t="s">
        <v>34</v>
      </c>
      <c r="F1120" s="69">
        <v>65</v>
      </c>
      <c r="G1120" s="42">
        <v>8307</v>
      </c>
      <c r="H1120" s="137" t="s">
        <v>63</v>
      </c>
      <c r="I1120" s="224"/>
      <c r="K1120" s="74"/>
      <c r="L1120" s="74"/>
      <c r="N1120" s="74"/>
    </row>
    <row r="1121" spans="1:14" ht="30" customHeight="1">
      <c r="A1121" s="37">
        <v>719</v>
      </c>
      <c r="B1121" s="38" t="s">
        <v>88</v>
      </c>
      <c r="C1121" s="40" t="s">
        <v>85</v>
      </c>
      <c r="D1121" s="40" t="s">
        <v>62</v>
      </c>
      <c r="E1121" s="41" t="s">
        <v>34</v>
      </c>
      <c r="F1121" s="69">
        <v>15</v>
      </c>
      <c r="G1121" s="42">
        <v>1862.5</v>
      </c>
      <c r="H1121" s="137" t="s">
        <v>63</v>
      </c>
      <c r="I1121" s="224"/>
      <c r="K1121" s="74"/>
      <c r="L1121" s="74"/>
      <c r="N1121" s="74"/>
    </row>
    <row r="1122" spans="1:14" ht="30" customHeight="1">
      <c r="A1122" s="37">
        <v>720</v>
      </c>
      <c r="B1122" s="38" t="s">
        <v>89</v>
      </c>
      <c r="C1122" s="40" t="s">
        <v>90</v>
      </c>
      <c r="D1122" s="40" t="s">
        <v>62</v>
      </c>
      <c r="E1122" s="41" t="s">
        <v>34</v>
      </c>
      <c r="F1122" s="69">
        <v>25</v>
      </c>
      <c r="G1122" s="42">
        <v>1239.5</v>
      </c>
      <c r="H1122" s="137" t="s">
        <v>63</v>
      </c>
      <c r="I1122" s="224"/>
      <c r="K1122" s="74"/>
      <c r="L1122" s="74"/>
      <c r="N1122" s="74"/>
    </row>
    <row r="1123" spans="1:14" ht="30" customHeight="1">
      <c r="A1123" s="37">
        <v>721</v>
      </c>
      <c r="B1123" s="38" t="s">
        <v>91</v>
      </c>
      <c r="C1123" s="40" t="s">
        <v>92</v>
      </c>
      <c r="D1123" s="40" t="s">
        <v>62</v>
      </c>
      <c r="E1123" s="41" t="s">
        <v>34</v>
      </c>
      <c r="F1123" s="69">
        <v>55</v>
      </c>
      <c r="G1123" s="42">
        <v>9195</v>
      </c>
      <c r="H1123" s="137" t="s">
        <v>63</v>
      </c>
      <c r="I1123" s="224"/>
      <c r="K1123" s="74"/>
      <c r="L1123" s="74"/>
      <c r="N1123" s="74"/>
    </row>
    <row r="1124" spans="1:14" ht="30" customHeight="1">
      <c r="A1124" s="37">
        <v>722</v>
      </c>
      <c r="B1124" s="38" t="s">
        <v>274</v>
      </c>
      <c r="C1124" s="40" t="s">
        <v>275</v>
      </c>
      <c r="D1124" s="40" t="s">
        <v>62</v>
      </c>
      <c r="E1124" s="41" t="s">
        <v>34</v>
      </c>
      <c r="F1124" s="69">
        <v>50</v>
      </c>
      <c r="G1124" s="42">
        <v>1800</v>
      </c>
      <c r="H1124" s="137" t="s">
        <v>63</v>
      </c>
      <c r="I1124" s="224"/>
      <c r="K1124" s="74"/>
      <c r="L1124" s="74"/>
      <c r="N1124" s="74"/>
    </row>
    <row r="1125" spans="1:14" ht="30" customHeight="1">
      <c r="A1125" s="37">
        <v>723</v>
      </c>
      <c r="B1125" s="38" t="s">
        <v>222</v>
      </c>
      <c r="C1125" s="40" t="s">
        <v>223</v>
      </c>
      <c r="D1125" s="40" t="s">
        <v>62</v>
      </c>
      <c r="E1125" s="41" t="s">
        <v>34</v>
      </c>
      <c r="F1125" s="69">
        <v>15</v>
      </c>
      <c r="G1125" s="42">
        <v>292</v>
      </c>
      <c r="H1125" s="137" t="s">
        <v>63</v>
      </c>
      <c r="I1125" s="224"/>
      <c r="K1125" s="74"/>
      <c r="L1125" s="74"/>
      <c r="N1125" s="74"/>
    </row>
    <row r="1126" spans="1:14" ht="30" customHeight="1">
      <c r="A1126" s="37">
        <v>724</v>
      </c>
      <c r="B1126" s="38" t="s">
        <v>93</v>
      </c>
      <c r="C1126" s="40" t="s">
        <v>94</v>
      </c>
      <c r="D1126" s="40" t="s">
        <v>62</v>
      </c>
      <c r="E1126" s="41" t="s">
        <v>34</v>
      </c>
      <c r="F1126" s="69">
        <v>7</v>
      </c>
      <c r="G1126" s="42">
        <v>787.89</v>
      </c>
      <c r="H1126" s="137" t="s">
        <v>63</v>
      </c>
      <c r="I1126" s="224"/>
      <c r="K1126" s="74"/>
      <c r="L1126" s="74"/>
      <c r="N1126" s="74"/>
    </row>
    <row r="1127" spans="1:14" ht="30" customHeight="1">
      <c r="A1127" s="37">
        <v>725</v>
      </c>
      <c r="B1127" s="38" t="s">
        <v>224</v>
      </c>
      <c r="C1127" s="40" t="s">
        <v>225</v>
      </c>
      <c r="D1127" s="40" t="s">
        <v>62</v>
      </c>
      <c r="E1127" s="41" t="s">
        <v>34</v>
      </c>
      <c r="F1127" s="69">
        <v>5</v>
      </c>
      <c r="G1127" s="42">
        <v>62</v>
      </c>
      <c r="H1127" s="137" t="s">
        <v>63</v>
      </c>
      <c r="I1127" s="224"/>
      <c r="K1127" s="74"/>
      <c r="L1127" s="74"/>
      <c r="N1127" s="74"/>
    </row>
    <row r="1128" spans="1:14" ht="30" customHeight="1">
      <c r="A1128" s="37">
        <v>726</v>
      </c>
      <c r="B1128" s="40" t="s">
        <v>95</v>
      </c>
      <c r="C1128" s="40" t="s">
        <v>96</v>
      </c>
      <c r="D1128" s="40" t="s">
        <v>62</v>
      </c>
      <c r="E1128" s="41" t="s">
        <v>34</v>
      </c>
      <c r="F1128" s="69">
        <v>40</v>
      </c>
      <c r="G1128" s="42">
        <v>8207</v>
      </c>
      <c r="H1128" s="137" t="s">
        <v>63</v>
      </c>
      <c r="I1128" s="224"/>
      <c r="K1128" s="74"/>
      <c r="L1128" s="74"/>
      <c r="N1128" s="74"/>
    </row>
    <row r="1129" spans="1:14" ht="30" customHeight="1">
      <c r="A1129" s="37">
        <v>727</v>
      </c>
      <c r="B1129" s="40" t="s">
        <v>667</v>
      </c>
      <c r="C1129" s="40" t="s">
        <v>668</v>
      </c>
      <c r="D1129" s="40" t="s">
        <v>62</v>
      </c>
      <c r="E1129" s="41" t="s">
        <v>34</v>
      </c>
      <c r="F1129" s="69">
        <v>63</v>
      </c>
      <c r="G1129" s="42">
        <v>14490</v>
      </c>
      <c r="H1129" s="137" t="s">
        <v>63</v>
      </c>
      <c r="I1129" s="224"/>
      <c r="K1129" s="74"/>
      <c r="L1129" s="74"/>
      <c r="N1129" s="74"/>
    </row>
    <row r="1130" spans="1:14" ht="45" customHeight="1">
      <c r="A1130" s="37">
        <v>728</v>
      </c>
      <c r="B1130" s="54" t="s">
        <v>98</v>
      </c>
      <c r="C1130" s="40" t="s">
        <v>61</v>
      </c>
      <c r="D1130" s="40" t="s">
        <v>62</v>
      </c>
      <c r="E1130" s="41" t="s">
        <v>25</v>
      </c>
      <c r="F1130" s="69">
        <v>300</v>
      </c>
      <c r="G1130" s="42">
        <v>3817.15</v>
      </c>
      <c r="H1130" s="137" t="s">
        <v>63</v>
      </c>
      <c r="I1130" s="224"/>
      <c r="K1130" s="74"/>
      <c r="L1130" s="74"/>
      <c r="N1130" s="74"/>
    </row>
    <row r="1131" spans="1:14" ht="30" customHeight="1">
      <c r="A1131" s="37">
        <v>729</v>
      </c>
      <c r="B1131" s="40" t="s">
        <v>99</v>
      </c>
      <c r="C1131" s="40" t="s">
        <v>100</v>
      </c>
      <c r="D1131" s="40" t="s">
        <v>62</v>
      </c>
      <c r="E1131" s="41" t="s">
        <v>34</v>
      </c>
      <c r="F1131" s="69">
        <v>27</v>
      </c>
      <c r="G1131" s="42">
        <v>8204.94</v>
      </c>
      <c r="H1131" s="137" t="s">
        <v>63</v>
      </c>
      <c r="I1131" s="224"/>
      <c r="K1131" s="74"/>
      <c r="L1131" s="74"/>
      <c r="N1131" s="74"/>
    </row>
    <row r="1132" spans="1:14" ht="30" customHeight="1">
      <c r="A1132" s="37">
        <v>730</v>
      </c>
      <c r="B1132" s="40" t="s">
        <v>101</v>
      </c>
      <c r="C1132" s="40" t="s">
        <v>102</v>
      </c>
      <c r="D1132" s="40" t="s">
        <v>62</v>
      </c>
      <c r="E1132" s="41" t="s">
        <v>34</v>
      </c>
      <c r="F1132" s="69">
        <v>1</v>
      </c>
      <c r="G1132" s="42">
        <v>595</v>
      </c>
      <c r="H1132" s="137" t="s">
        <v>63</v>
      </c>
      <c r="I1132" s="224"/>
      <c r="K1132" s="74"/>
      <c r="L1132" s="74"/>
      <c r="N1132" s="74"/>
    </row>
    <row r="1133" spans="1:14" ht="30" customHeight="1">
      <c r="A1133" s="37">
        <v>731</v>
      </c>
      <c r="B1133" s="40" t="s">
        <v>228</v>
      </c>
      <c r="C1133" s="40" t="s">
        <v>229</v>
      </c>
      <c r="D1133" s="40" t="s">
        <v>62</v>
      </c>
      <c r="E1133" s="41" t="s">
        <v>34</v>
      </c>
      <c r="F1133" s="69">
        <v>70</v>
      </c>
      <c r="G1133" s="42">
        <v>2992</v>
      </c>
      <c r="H1133" s="137" t="s">
        <v>63</v>
      </c>
      <c r="I1133" s="224"/>
      <c r="K1133" s="74"/>
      <c r="L1133" s="74"/>
      <c r="N1133" s="74"/>
    </row>
    <row r="1134" spans="1:14" ht="30" customHeight="1">
      <c r="A1134" s="37">
        <v>732</v>
      </c>
      <c r="B1134" s="40" t="s">
        <v>103</v>
      </c>
      <c r="C1134" s="40" t="s">
        <v>104</v>
      </c>
      <c r="D1134" s="40" t="s">
        <v>62</v>
      </c>
      <c r="E1134" s="41" t="s">
        <v>25</v>
      </c>
      <c r="F1134" s="69">
        <v>700</v>
      </c>
      <c r="G1134" s="42">
        <v>3248</v>
      </c>
      <c r="H1134" s="137" t="s">
        <v>63</v>
      </c>
      <c r="I1134" s="224"/>
      <c r="K1134" s="74"/>
      <c r="L1134" s="74"/>
      <c r="N1134" s="74"/>
    </row>
    <row r="1135" spans="1:14" ht="45" customHeight="1">
      <c r="A1135" s="37">
        <v>733</v>
      </c>
      <c r="B1135" s="38" t="s">
        <v>60</v>
      </c>
      <c r="C1135" s="40" t="s">
        <v>61</v>
      </c>
      <c r="D1135" s="40" t="s">
        <v>62</v>
      </c>
      <c r="E1135" s="41" t="s">
        <v>34</v>
      </c>
      <c r="F1135" s="69">
        <v>4</v>
      </c>
      <c r="G1135" s="42">
        <v>174.4</v>
      </c>
      <c r="H1135" s="137" t="s">
        <v>63</v>
      </c>
      <c r="I1135" s="224"/>
      <c r="K1135" s="74"/>
      <c r="L1135" s="74"/>
      <c r="N1135" s="74"/>
    </row>
    <row r="1136" spans="1:14" ht="30" customHeight="1">
      <c r="A1136" s="37">
        <v>734</v>
      </c>
      <c r="B1136" s="38" t="s">
        <v>105</v>
      </c>
      <c r="C1136" s="40" t="s">
        <v>70</v>
      </c>
      <c r="D1136" s="40" t="s">
        <v>62</v>
      </c>
      <c r="E1136" s="41" t="s">
        <v>34</v>
      </c>
      <c r="F1136" s="69">
        <v>27</v>
      </c>
      <c r="G1136" s="42">
        <v>898.3</v>
      </c>
      <c r="H1136" s="137" t="s">
        <v>63</v>
      </c>
      <c r="I1136" s="224"/>
      <c r="K1136" s="74"/>
      <c r="L1136" s="74"/>
      <c r="N1136" s="74"/>
    </row>
    <row r="1137" spans="1:14" ht="32.25" customHeight="1" hidden="1">
      <c r="A1137" s="37"/>
      <c r="B1137" s="242" t="s">
        <v>106</v>
      </c>
      <c r="C1137" s="243"/>
      <c r="D1137" s="40"/>
      <c r="E1137" s="41"/>
      <c r="F1137" s="50"/>
      <c r="G1137" s="42">
        <f>SUM(G1111:G1136)</f>
        <v>78880</v>
      </c>
      <c r="H1137" s="51"/>
      <c r="I1137" s="224"/>
      <c r="K1137" s="74"/>
      <c r="L1137" s="74"/>
      <c r="N1137" s="74"/>
    </row>
    <row r="1138" spans="1:12" s="11" customFormat="1" ht="30" customHeight="1">
      <c r="A1138" s="269">
        <v>735</v>
      </c>
      <c r="B1138" s="270" t="s">
        <v>235</v>
      </c>
      <c r="C1138" s="137" t="s">
        <v>116</v>
      </c>
      <c r="D1138" s="137" t="s">
        <v>109</v>
      </c>
      <c r="E1138" s="138" t="s">
        <v>113</v>
      </c>
      <c r="F1138" s="271" t="s">
        <v>117</v>
      </c>
      <c r="G1138" s="272">
        <f>318+174</f>
        <v>492</v>
      </c>
      <c r="H1138" s="137" t="s">
        <v>63</v>
      </c>
      <c r="I1138" s="224"/>
      <c r="K1138" s="11">
        <v>99</v>
      </c>
      <c r="L1138" s="275">
        <f aca="true" t="shared" si="14" ref="L1138:L1144">G1138-K1138</f>
        <v>393</v>
      </c>
    </row>
    <row r="1139" spans="1:12" s="11" customFormat="1" ht="45" customHeight="1">
      <c r="A1139" s="269">
        <v>736</v>
      </c>
      <c r="B1139" s="270" t="s">
        <v>236</v>
      </c>
      <c r="C1139" s="137" t="s">
        <v>119</v>
      </c>
      <c r="D1139" s="137" t="s">
        <v>109</v>
      </c>
      <c r="E1139" s="138" t="s">
        <v>120</v>
      </c>
      <c r="F1139" s="138" t="s">
        <v>121</v>
      </c>
      <c r="G1139" s="272">
        <v>3375.77</v>
      </c>
      <c r="H1139" s="137" t="s">
        <v>63</v>
      </c>
      <c r="I1139" s="224"/>
      <c r="K1139" s="11">
        <f>1093.11</f>
        <v>1093.11</v>
      </c>
      <c r="L1139" s="275">
        <f t="shared" si="14"/>
        <v>2282.66</v>
      </c>
    </row>
    <row r="1140" spans="1:12" s="11" customFormat="1" ht="30" customHeight="1">
      <c r="A1140" s="269">
        <v>737</v>
      </c>
      <c r="B1140" s="98" t="s">
        <v>295</v>
      </c>
      <c r="C1140" s="99" t="s">
        <v>112</v>
      </c>
      <c r="D1140" s="99" t="s">
        <v>109</v>
      </c>
      <c r="E1140" s="162" t="s">
        <v>113</v>
      </c>
      <c r="F1140" s="138">
        <v>1500</v>
      </c>
      <c r="G1140" s="272">
        <v>1800</v>
      </c>
      <c r="H1140" s="137" t="s">
        <v>63</v>
      </c>
      <c r="I1140" s="224"/>
      <c r="K1140" s="11">
        <f>400</f>
        <v>400</v>
      </c>
      <c r="L1140" s="275">
        <f t="shared" si="14"/>
        <v>1400</v>
      </c>
    </row>
    <row r="1141" spans="1:12" s="11" customFormat="1" ht="30" customHeight="1">
      <c r="A1141" s="269">
        <v>738</v>
      </c>
      <c r="B1141" s="270" t="s">
        <v>130</v>
      </c>
      <c r="C1141" s="137" t="s">
        <v>131</v>
      </c>
      <c r="D1141" s="137" t="s">
        <v>109</v>
      </c>
      <c r="E1141" s="138" t="s">
        <v>25</v>
      </c>
      <c r="F1141" s="138">
        <v>3</v>
      </c>
      <c r="G1141" s="272">
        <v>840</v>
      </c>
      <c r="H1141" s="137" t="s">
        <v>132</v>
      </c>
      <c r="I1141" s="224"/>
      <c r="K1141" s="11">
        <v>280</v>
      </c>
      <c r="L1141" s="275">
        <f t="shared" si="14"/>
        <v>560</v>
      </c>
    </row>
    <row r="1142" spans="1:12" s="11" customFormat="1" ht="30" customHeight="1">
      <c r="A1142" s="269">
        <v>739</v>
      </c>
      <c r="B1142" s="273" t="s">
        <v>286</v>
      </c>
      <c r="C1142" s="274" t="s">
        <v>239</v>
      </c>
      <c r="D1142" s="137" t="s">
        <v>109</v>
      </c>
      <c r="E1142" s="138" t="s">
        <v>285</v>
      </c>
      <c r="F1142" s="138">
        <v>561.7</v>
      </c>
      <c r="G1142" s="272">
        <v>1662.63</v>
      </c>
      <c r="H1142" s="137" t="s">
        <v>19</v>
      </c>
      <c r="I1142" s="224"/>
      <c r="L1142" s="275">
        <f t="shared" si="14"/>
        <v>1662.63</v>
      </c>
    </row>
    <row r="1143" spans="1:12" s="11" customFormat="1" ht="30" customHeight="1">
      <c r="A1143" s="269">
        <v>740</v>
      </c>
      <c r="B1143" s="270" t="s">
        <v>127</v>
      </c>
      <c r="C1143" s="274" t="s">
        <v>239</v>
      </c>
      <c r="D1143" s="137" t="s">
        <v>109</v>
      </c>
      <c r="E1143" s="138" t="s">
        <v>285</v>
      </c>
      <c r="F1143" s="138">
        <v>1270</v>
      </c>
      <c r="G1143" s="272">
        <v>3276.6</v>
      </c>
      <c r="H1143" s="137" t="s">
        <v>19</v>
      </c>
      <c r="I1143" s="224"/>
      <c r="L1143" s="275">
        <f t="shared" si="14"/>
        <v>3276.6</v>
      </c>
    </row>
    <row r="1144" spans="1:12" s="11" customFormat="1" ht="30" customHeight="1">
      <c r="A1144" s="269">
        <v>741</v>
      </c>
      <c r="B1144" s="98" t="s">
        <v>296</v>
      </c>
      <c r="C1144" s="99" t="s">
        <v>282</v>
      </c>
      <c r="D1144" s="137" t="s">
        <v>109</v>
      </c>
      <c r="E1144" s="138" t="s">
        <v>113</v>
      </c>
      <c r="F1144" s="138" t="s">
        <v>117</v>
      </c>
      <c r="G1144" s="272">
        <f>1413-174</f>
        <v>1239</v>
      </c>
      <c r="H1144" s="137" t="s">
        <v>63</v>
      </c>
      <c r="I1144" s="224"/>
      <c r="K1144" s="11">
        <v>470.96</v>
      </c>
      <c r="L1144" s="275">
        <f t="shared" si="14"/>
        <v>768.04</v>
      </c>
    </row>
    <row r="1145" spans="1:12" ht="32.25" customHeight="1" hidden="1">
      <c r="A1145" s="269">
        <v>767</v>
      </c>
      <c r="B1145" s="45" t="s">
        <v>136</v>
      </c>
      <c r="C1145" s="46"/>
      <c r="D1145" s="40"/>
      <c r="E1145" s="41"/>
      <c r="F1145" s="41"/>
      <c r="G1145" s="42">
        <f>SUM(G1138:G1144)</f>
        <v>12686</v>
      </c>
      <c r="H1145" s="51"/>
      <c r="I1145" s="224"/>
      <c r="K1145" s="12">
        <f>SUM(K1138:K1144)</f>
        <v>2343.0699999999997</v>
      </c>
      <c r="L1145" s="74">
        <f>SUM(L1138:L1144)</f>
        <v>10342.93</v>
      </c>
    </row>
    <row r="1146" spans="1:11" ht="30" customHeight="1">
      <c r="A1146" s="269">
        <v>742</v>
      </c>
      <c r="B1146" s="38" t="s">
        <v>137</v>
      </c>
      <c r="C1146" s="52" t="s">
        <v>138</v>
      </c>
      <c r="D1146" s="40" t="s">
        <v>139</v>
      </c>
      <c r="E1146" s="41" t="s">
        <v>140</v>
      </c>
      <c r="F1146" s="53">
        <f>G1146/67.76</f>
        <v>4995.572609208973</v>
      </c>
      <c r="G1146" s="42">
        <v>338500</v>
      </c>
      <c r="H1146" s="137" t="s">
        <v>63</v>
      </c>
      <c r="I1146" s="224"/>
      <c r="K1146" s="12">
        <v>139880</v>
      </c>
    </row>
    <row r="1147" spans="1:9" ht="30" customHeight="1" hidden="1">
      <c r="A1147" s="269">
        <v>769</v>
      </c>
      <c r="B1147" s="45" t="s">
        <v>141</v>
      </c>
      <c r="C1147" s="46"/>
      <c r="D1147" s="40"/>
      <c r="E1147" s="41"/>
      <c r="F1147" s="41"/>
      <c r="G1147" s="42">
        <f>SUM(G1146:G1146)</f>
        <v>338500</v>
      </c>
      <c r="H1147" s="51"/>
      <c r="I1147" s="224"/>
    </row>
    <row r="1148" spans="1:11" ht="30" customHeight="1">
      <c r="A1148" s="269">
        <v>743</v>
      </c>
      <c r="B1148" s="38" t="s">
        <v>244</v>
      </c>
      <c r="C1148" s="54" t="s">
        <v>245</v>
      </c>
      <c r="D1148" s="40" t="s">
        <v>246</v>
      </c>
      <c r="E1148" s="41" t="s">
        <v>110</v>
      </c>
      <c r="F1148" s="56">
        <f>G1148/12.72</f>
        <v>135.53459119496856</v>
      </c>
      <c r="G1148" s="42">
        <v>1724</v>
      </c>
      <c r="H1148" s="137" t="s">
        <v>63</v>
      </c>
      <c r="I1148" s="224"/>
      <c r="K1148" s="74"/>
    </row>
    <row r="1149" spans="1:9" ht="30" customHeight="1" hidden="1">
      <c r="A1149" s="269">
        <v>771</v>
      </c>
      <c r="B1149" s="45" t="s">
        <v>247</v>
      </c>
      <c r="C1149" s="46"/>
      <c r="D1149" s="40"/>
      <c r="E1149" s="41"/>
      <c r="F1149" s="41"/>
      <c r="G1149" s="42">
        <f>G1148</f>
        <v>1724</v>
      </c>
      <c r="H1149" s="51"/>
      <c r="I1149" s="224"/>
    </row>
    <row r="1150" spans="1:13" ht="30" customHeight="1">
      <c r="A1150" s="269">
        <v>744</v>
      </c>
      <c r="B1150" s="38" t="s">
        <v>142</v>
      </c>
      <c r="C1150" s="54" t="s">
        <v>143</v>
      </c>
      <c r="D1150" s="40" t="s">
        <v>144</v>
      </c>
      <c r="E1150" s="41" t="s">
        <v>145</v>
      </c>
      <c r="F1150" s="56">
        <f>G1150/4.14243</f>
        <v>4759.766610419488</v>
      </c>
      <c r="G1150" s="42">
        <v>19717</v>
      </c>
      <c r="H1150" s="137" t="s">
        <v>63</v>
      </c>
      <c r="I1150" s="224"/>
      <c r="K1150" s="12">
        <f>7652.12</f>
        <v>7652.12</v>
      </c>
      <c r="L1150" s="240"/>
      <c r="M1150" s="74">
        <f>G1150-K1150</f>
        <v>12064.880000000001</v>
      </c>
    </row>
    <row r="1151" spans="1:9" ht="30" customHeight="1" hidden="1">
      <c r="A1151" s="37"/>
      <c r="B1151" s="45" t="s">
        <v>146</v>
      </c>
      <c r="C1151" s="46"/>
      <c r="D1151" s="40"/>
      <c r="E1151" s="40"/>
      <c r="F1151" s="40"/>
      <c r="G1151" s="42">
        <f>G1150</f>
        <v>19717</v>
      </c>
      <c r="H1151" s="51"/>
      <c r="I1151" s="224"/>
    </row>
    <row r="1152" spans="1:9" ht="29.25" customHeight="1" hidden="1">
      <c r="A1152" s="19"/>
      <c r="B1152" s="169"/>
      <c r="C1152" s="169"/>
      <c r="D1152" s="170"/>
      <c r="E1152" s="167"/>
      <c r="F1152" s="167"/>
      <c r="G1152" s="110"/>
      <c r="H1152" s="171"/>
      <c r="I1152" s="223"/>
    </row>
    <row r="1153" spans="1:9" ht="29.25" customHeight="1" hidden="1">
      <c r="A1153" s="19"/>
      <c r="B1153" s="208" t="s">
        <v>151</v>
      </c>
      <c r="C1153" s="167"/>
      <c r="D1153" s="168"/>
      <c r="E1153" s="207"/>
      <c r="F1153" s="170"/>
      <c r="G1153" s="110"/>
      <c r="H1153" s="171"/>
      <c r="I1153" s="223"/>
    </row>
    <row r="1154" spans="1:9" ht="29.25" customHeight="1" hidden="1">
      <c r="A1154" s="19"/>
      <c r="B1154" s="167" t="s">
        <v>693</v>
      </c>
      <c r="C1154" s="167"/>
      <c r="D1154" s="225" t="s">
        <v>153</v>
      </c>
      <c r="E1154" s="226"/>
      <c r="F1154" s="170"/>
      <c r="G1154" s="110"/>
      <c r="H1154" s="171"/>
      <c r="I1154" s="223"/>
    </row>
    <row r="1155" spans="1:9" ht="29.25" customHeight="1" hidden="1">
      <c r="A1155" s="19"/>
      <c r="B1155" s="167"/>
      <c r="C1155" s="167"/>
      <c r="D1155" s="227" t="s">
        <v>694</v>
      </c>
      <c r="E1155" s="228" t="s">
        <v>692</v>
      </c>
      <c r="F1155" s="170"/>
      <c r="G1155" s="110"/>
      <c r="H1155" s="171"/>
      <c r="I1155" s="223"/>
    </row>
    <row r="1156" spans="1:9" ht="29.25" customHeight="1" hidden="1">
      <c r="A1156" s="19"/>
      <c r="B1156" s="167" t="s">
        <v>156</v>
      </c>
      <c r="C1156" s="167"/>
      <c r="D1156" s="225" t="s">
        <v>157</v>
      </c>
      <c r="E1156" s="226"/>
      <c r="F1156" s="170"/>
      <c r="G1156" s="110"/>
      <c r="H1156" s="171"/>
      <c r="I1156" s="223"/>
    </row>
    <row r="1157" spans="1:9" ht="29.25" customHeight="1" hidden="1">
      <c r="A1157" s="19"/>
      <c r="B1157" s="167" t="s">
        <v>695</v>
      </c>
      <c r="C1157" s="167"/>
      <c r="D1157" s="168"/>
      <c r="E1157" s="207"/>
      <c r="F1157" s="170"/>
      <c r="G1157" s="110"/>
      <c r="H1157" s="171"/>
      <c r="I1157" s="223"/>
    </row>
    <row r="1158" spans="1:9" ht="29.25" customHeight="1" hidden="1">
      <c r="A1158" s="19"/>
      <c r="B1158" s="229" t="s">
        <v>159</v>
      </c>
      <c r="C1158" s="167"/>
      <c r="D1158" s="225" t="s">
        <v>160</v>
      </c>
      <c r="E1158" s="226"/>
      <c r="F1158" s="170"/>
      <c r="G1158" s="110"/>
      <c r="H1158" s="171"/>
      <c r="I1158" s="223"/>
    </row>
    <row r="1159" spans="1:9" ht="29.25" customHeight="1" hidden="1">
      <c r="A1159" s="19"/>
      <c r="B1159" s="230" t="s">
        <v>161</v>
      </c>
      <c r="C1159" s="167"/>
      <c r="D1159" s="168"/>
      <c r="E1159" s="207"/>
      <c r="F1159" s="170"/>
      <c r="G1159" s="110"/>
      <c r="H1159" s="171"/>
      <c r="I1159" s="223"/>
    </row>
    <row r="1160" spans="1:9" ht="29.25" customHeight="1" hidden="1">
      <c r="A1160" s="19"/>
      <c r="B1160" s="169"/>
      <c r="C1160" s="169"/>
      <c r="D1160" s="170"/>
      <c r="E1160" s="170"/>
      <c r="F1160" s="170"/>
      <c r="G1160" s="110"/>
      <c r="H1160" s="171"/>
      <c r="I1160" s="223"/>
    </row>
    <row r="1161" spans="1:9" ht="29.25" customHeight="1" hidden="1">
      <c r="A1161" s="19"/>
      <c r="B1161" s="19"/>
      <c r="C1161" s="190"/>
      <c r="D1161" s="187"/>
      <c r="E1161" s="187"/>
      <c r="F1161" s="209" t="s">
        <v>1</v>
      </c>
      <c r="G1161" s="209"/>
      <c r="H1161" s="8"/>
      <c r="I1161" s="223"/>
    </row>
    <row r="1162" spans="1:9" ht="42.75" customHeight="1" hidden="1">
      <c r="A1162" s="19"/>
      <c r="B1162" s="190" t="s">
        <v>687</v>
      </c>
      <c r="C1162" s="8"/>
      <c r="D1162" s="187"/>
      <c r="E1162" s="187"/>
      <c r="F1162" s="209"/>
      <c r="G1162" s="209"/>
      <c r="H1162" s="8"/>
      <c r="I1162" s="223"/>
    </row>
    <row r="1163" spans="1:9" ht="29.25" customHeight="1" hidden="1">
      <c r="A1163" s="19"/>
      <c r="B1163" s="167"/>
      <c r="C1163" s="167"/>
      <c r="D1163" s="168"/>
      <c r="E1163" s="207"/>
      <c r="F1163" s="207"/>
      <c r="G1163" s="110"/>
      <c r="H1163" s="8"/>
      <c r="I1163" s="223"/>
    </row>
    <row r="1164" spans="1:9" ht="29.25" customHeight="1" hidden="1">
      <c r="A1164" s="191" t="s">
        <v>248</v>
      </c>
      <c r="B1164" s="191"/>
      <c r="C1164" s="191"/>
      <c r="D1164" s="191"/>
      <c r="E1164" s="191"/>
      <c r="F1164" s="191"/>
      <c r="G1164" s="191"/>
      <c r="H1164" s="191"/>
      <c r="I1164" s="191"/>
    </row>
    <row r="1165" spans="1:9" ht="29.25" customHeight="1" hidden="1">
      <c r="A1165" s="191"/>
      <c r="B1165" s="191"/>
      <c r="C1165" s="191"/>
      <c r="D1165" s="191"/>
      <c r="E1165" s="191"/>
      <c r="F1165" s="191"/>
      <c r="G1165" s="191"/>
      <c r="H1165" s="191"/>
      <c r="I1165" s="191"/>
    </row>
    <row r="1166" spans="1:9" s="7" customFormat="1" ht="29.25" customHeight="1">
      <c r="A1166" s="35" t="s">
        <v>682</v>
      </c>
      <c r="B1166" s="173"/>
      <c r="C1166" s="173"/>
      <c r="D1166" s="173"/>
      <c r="E1166" s="173"/>
      <c r="F1166" s="173"/>
      <c r="G1166" s="173"/>
      <c r="H1166" s="173"/>
      <c r="I1166" s="173"/>
    </row>
    <row r="1167" spans="3:9" ht="29.25" customHeight="1" hidden="1">
      <c r="C1167" s="124"/>
      <c r="D1167" s="268" t="s">
        <v>4</v>
      </c>
      <c r="E1167" s="124"/>
      <c r="F1167" s="124"/>
      <c r="H1167" s="16"/>
      <c r="I1167" s="16"/>
    </row>
    <row r="1168" spans="5:6" ht="15.75" customHeight="1" hidden="1">
      <c r="E1168" s="3"/>
      <c r="F1168" s="3"/>
    </row>
    <row r="1169" spans="1:11" ht="15.75" customHeight="1" hidden="1">
      <c r="A1169" s="26" t="s">
        <v>5</v>
      </c>
      <c r="B1169" s="27" t="s">
        <v>6</v>
      </c>
      <c r="C1169" s="28" t="s">
        <v>7</v>
      </c>
      <c r="D1169" s="28" t="s">
        <v>249</v>
      </c>
      <c r="E1169" s="28" t="s">
        <v>9</v>
      </c>
      <c r="F1169" s="28" t="s">
        <v>10</v>
      </c>
      <c r="G1169" s="128" t="s">
        <v>250</v>
      </c>
      <c r="H1169" s="28" t="s">
        <v>251</v>
      </c>
      <c r="I1169" s="28" t="s">
        <v>13</v>
      </c>
      <c r="J1169" s="71"/>
      <c r="K1169" s="71"/>
    </row>
    <row r="1170" spans="1:9" ht="31.5" customHeight="1" hidden="1">
      <c r="A1170" s="29"/>
      <c r="B1170" s="30"/>
      <c r="C1170" s="31"/>
      <c r="D1170" s="31"/>
      <c r="E1170" s="31"/>
      <c r="F1170" s="31"/>
      <c r="G1170" s="129"/>
      <c r="H1170" s="31"/>
      <c r="I1170" s="31"/>
    </row>
    <row r="1171" spans="1:9" ht="85.5" customHeight="1" hidden="1">
      <c r="A1171" s="32"/>
      <c r="B1171" s="33"/>
      <c r="C1171" s="34"/>
      <c r="D1171" s="34"/>
      <c r="E1171" s="34"/>
      <c r="F1171" s="34"/>
      <c r="G1171" s="130"/>
      <c r="H1171" s="34"/>
      <c r="I1171" s="34"/>
    </row>
    <row r="1172" spans="1:14" ht="20.25" customHeight="1" hidden="1">
      <c r="A1172" s="32">
        <v>1</v>
      </c>
      <c r="B1172" s="33">
        <v>2</v>
      </c>
      <c r="C1172" s="34">
        <v>3</v>
      </c>
      <c r="D1172" s="34">
        <v>4</v>
      </c>
      <c r="E1172" s="34">
        <v>5</v>
      </c>
      <c r="F1172" s="34">
        <v>6</v>
      </c>
      <c r="G1172" s="130">
        <v>7</v>
      </c>
      <c r="H1172" s="34">
        <v>8</v>
      </c>
      <c r="I1172" s="72">
        <v>9</v>
      </c>
      <c r="N1172" s="12" t="s">
        <v>252</v>
      </c>
    </row>
    <row r="1173" spans="1:12" ht="30" customHeight="1">
      <c r="A1173" s="37">
        <v>745</v>
      </c>
      <c r="B1173" s="38" t="s">
        <v>15</v>
      </c>
      <c r="C1173" s="39" t="s">
        <v>16</v>
      </c>
      <c r="D1173" s="40" t="s">
        <v>17</v>
      </c>
      <c r="E1173" s="41" t="s">
        <v>18</v>
      </c>
      <c r="F1173" s="41">
        <v>10</v>
      </c>
      <c r="G1173" s="42">
        <v>2100</v>
      </c>
      <c r="H1173" s="137" t="s">
        <v>63</v>
      </c>
      <c r="I1173" s="224" t="s">
        <v>253</v>
      </c>
      <c r="L1173" s="74">
        <f>G1173-K1173</f>
        <v>2100</v>
      </c>
    </row>
    <row r="1174" spans="1:12" ht="30" customHeight="1">
      <c r="A1174" s="37">
        <v>746</v>
      </c>
      <c r="B1174" s="98" t="s">
        <v>254</v>
      </c>
      <c r="C1174" s="99" t="s">
        <v>24</v>
      </c>
      <c r="D1174" s="99" t="s">
        <v>17</v>
      </c>
      <c r="E1174" s="162" t="s">
        <v>25</v>
      </c>
      <c r="F1174" s="34">
        <v>5</v>
      </c>
      <c r="G1174" s="42">
        <v>870</v>
      </c>
      <c r="H1174" s="137" t="s">
        <v>63</v>
      </c>
      <c r="I1174" s="224"/>
      <c r="L1174" s="74"/>
    </row>
    <row r="1175" spans="1:12" ht="45" customHeight="1">
      <c r="A1175" s="37">
        <v>747</v>
      </c>
      <c r="B1175" s="98" t="s">
        <v>255</v>
      </c>
      <c r="C1175" s="99" t="s">
        <v>27</v>
      </c>
      <c r="D1175" s="40" t="s">
        <v>17</v>
      </c>
      <c r="E1175" s="41" t="s">
        <v>22</v>
      </c>
      <c r="F1175" s="41">
        <v>3</v>
      </c>
      <c r="G1175" s="42">
        <v>528</v>
      </c>
      <c r="H1175" s="137" t="s">
        <v>63</v>
      </c>
      <c r="I1175" s="224"/>
      <c r="L1175" s="74">
        <f>G1175-K1175</f>
        <v>528</v>
      </c>
    </row>
    <row r="1176" spans="1:12" ht="30" customHeight="1">
      <c r="A1176" s="37">
        <v>748</v>
      </c>
      <c r="B1176" s="98" t="s">
        <v>256</v>
      </c>
      <c r="C1176" s="99" t="s">
        <v>27</v>
      </c>
      <c r="D1176" s="137" t="s">
        <v>17</v>
      </c>
      <c r="E1176" s="138" t="s">
        <v>25</v>
      </c>
      <c r="F1176" s="41">
        <v>8</v>
      </c>
      <c r="G1176" s="42">
        <v>472</v>
      </c>
      <c r="H1176" s="51" t="s">
        <v>63</v>
      </c>
      <c r="I1176" s="224"/>
      <c r="L1176" s="74"/>
    </row>
    <row r="1177" spans="1:12" ht="30" customHeight="1">
      <c r="A1177" s="37">
        <v>749</v>
      </c>
      <c r="B1177" s="98" t="s">
        <v>257</v>
      </c>
      <c r="C1177" s="99" t="s">
        <v>33</v>
      </c>
      <c r="D1177" s="137" t="s">
        <v>17</v>
      </c>
      <c r="E1177" s="138" t="s">
        <v>34</v>
      </c>
      <c r="F1177" s="41">
        <v>100</v>
      </c>
      <c r="G1177" s="42">
        <v>12000</v>
      </c>
      <c r="H1177" s="51" t="s">
        <v>63</v>
      </c>
      <c r="I1177" s="224"/>
      <c r="L1177" s="74"/>
    </row>
    <row r="1178" spans="1:12" ht="30" customHeight="1">
      <c r="A1178" s="37">
        <v>750</v>
      </c>
      <c r="B1178" s="98" t="s">
        <v>258</v>
      </c>
      <c r="C1178" s="99" t="s">
        <v>44</v>
      </c>
      <c r="D1178" s="137" t="s">
        <v>17</v>
      </c>
      <c r="E1178" s="138" t="s">
        <v>25</v>
      </c>
      <c r="F1178" s="41">
        <v>2</v>
      </c>
      <c r="G1178" s="42">
        <v>580</v>
      </c>
      <c r="H1178" s="51" t="s">
        <v>63</v>
      </c>
      <c r="I1178" s="224"/>
      <c r="L1178" s="74"/>
    </row>
    <row r="1179" spans="1:12" ht="30" customHeight="1">
      <c r="A1179" s="37">
        <v>751</v>
      </c>
      <c r="B1179" s="98" t="s">
        <v>259</v>
      </c>
      <c r="C1179" s="99" t="s">
        <v>260</v>
      </c>
      <c r="D1179" s="137" t="s">
        <v>17</v>
      </c>
      <c r="E1179" s="138" t="s">
        <v>25</v>
      </c>
      <c r="F1179" s="41">
        <v>2</v>
      </c>
      <c r="G1179" s="42">
        <v>4603.42</v>
      </c>
      <c r="H1179" s="51" t="s">
        <v>63</v>
      </c>
      <c r="I1179" s="224"/>
      <c r="L1179" s="74"/>
    </row>
    <row r="1180" spans="1:12" ht="30" customHeight="1">
      <c r="A1180" s="37">
        <v>752</v>
      </c>
      <c r="B1180" s="98" t="s">
        <v>261</v>
      </c>
      <c r="C1180" s="99" t="s">
        <v>44</v>
      </c>
      <c r="D1180" s="137" t="s">
        <v>17</v>
      </c>
      <c r="E1180" s="138" t="s">
        <v>25</v>
      </c>
      <c r="F1180" s="41">
        <v>2</v>
      </c>
      <c r="G1180" s="42">
        <v>1400</v>
      </c>
      <c r="H1180" s="51" t="s">
        <v>63</v>
      </c>
      <c r="I1180" s="224"/>
      <c r="L1180" s="74"/>
    </row>
    <row r="1181" spans="1:12" ht="45" customHeight="1">
      <c r="A1181" s="37">
        <v>753</v>
      </c>
      <c r="B1181" s="98" t="s">
        <v>262</v>
      </c>
      <c r="C1181" s="99" t="s">
        <v>204</v>
      </c>
      <c r="D1181" s="137" t="s">
        <v>17</v>
      </c>
      <c r="E1181" s="138" t="s">
        <v>25</v>
      </c>
      <c r="F1181" s="41">
        <v>4</v>
      </c>
      <c r="G1181" s="42">
        <v>788</v>
      </c>
      <c r="H1181" s="51" t="s">
        <v>63</v>
      </c>
      <c r="I1181" s="224"/>
      <c r="L1181" s="74"/>
    </row>
    <row r="1182" spans="1:12" ht="30" customHeight="1">
      <c r="A1182" s="37">
        <v>754</v>
      </c>
      <c r="B1182" s="98" t="s">
        <v>263</v>
      </c>
      <c r="C1182" s="99" t="s">
        <v>179</v>
      </c>
      <c r="D1182" s="137" t="s">
        <v>17</v>
      </c>
      <c r="E1182" s="138" t="s">
        <v>25</v>
      </c>
      <c r="F1182" s="41">
        <v>2</v>
      </c>
      <c r="G1182" s="42">
        <v>230</v>
      </c>
      <c r="H1182" s="51" t="s">
        <v>63</v>
      </c>
      <c r="I1182" s="224"/>
      <c r="L1182" s="74"/>
    </row>
    <row r="1183" spans="1:12" ht="30" customHeight="1">
      <c r="A1183" s="37">
        <v>755</v>
      </c>
      <c r="B1183" s="38" t="s">
        <v>57</v>
      </c>
      <c r="C1183" s="40" t="s">
        <v>58</v>
      </c>
      <c r="D1183" s="40" t="s">
        <v>17</v>
      </c>
      <c r="E1183" s="41" t="s">
        <v>25</v>
      </c>
      <c r="F1183" s="41">
        <v>1</v>
      </c>
      <c r="G1183" s="42">
        <v>2500.2</v>
      </c>
      <c r="H1183" s="155" t="s">
        <v>63</v>
      </c>
      <c r="I1183" s="224"/>
      <c r="L1183" s="74"/>
    </row>
    <row r="1184" spans="1:12" ht="30" customHeight="1">
      <c r="A1184" s="37">
        <v>756</v>
      </c>
      <c r="B1184" s="38" t="s">
        <v>208</v>
      </c>
      <c r="C1184" s="43" t="s">
        <v>209</v>
      </c>
      <c r="D1184" s="137" t="s">
        <v>17</v>
      </c>
      <c r="E1184" s="138" t="s">
        <v>264</v>
      </c>
      <c r="F1184" s="53">
        <f>10.77+4.586065</f>
        <v>15.356065</v>
      </c>
      <c r="G1184" s="42">
        <f>2044.25+870.16</f>
        <v>2914.41</v>
      </c>
      <c r="H1184" s="51" t="s">
        <v>63</v>
      </c>
      <c r="I1184" s="224"/>
      <c r="L1184" s="74"/>
    </row>
    <row r="1185" spans="1:12" ht="45" customHeight="1">
      <c r="A1185" s="37">
        <v>757</v>
      </c>
      <c r="B1185" s="38" t="s">
        <v>265</v>
      </c>
      <c r="C1185" s="43" t="s">
        <v>204</v>
      </c>
      <c r="D1185" s="137" t="s">
        <v>17</v>
      </c>
      <c r="E1185" s="138" t="s">
        <v>205</v>
      </c>
      <c r="F1185" s="41">
        <v>2.15</v>
      </c>
      <c r="G1185" s="42">
        <v>801.95</v>
      </c>
      <c r="H1185" s="51" t="s">
        <v>63</v>
      </c>
      <c r="I1185" s="224"/>
      <c r="L1185" s="74"/>
    </row>
    <row r="1186" spans="1:12" ht="45" customHeight="1">
      <c r="A1186" s="37">
        <v>758</v>
      </c>
      <c r="B1186" s="98" t="s">
        <v>266</v>
      </c>
      <c r="C1186" s="99" t="s">
        <v>204</v>
      </c>
      <c r="D1186" s="137" t="s">
        <v>17</v>
      </c>
      <c r="E1186" s="138" t="s">
        <v>264</v>
      </c>
      <c r="F1186" s="41">
        <v>7.2</v>
      </c>
      <c r="G1186" s="42">
        <v>6552</v>
      </c>
      <c r="H1186" s="51" t="s">
        <v>63</v>
      </c>
      <c r="I1186" s="224"/>
      <c r="L1186" s="74"/>
    </row>
    <row r="1187" spans="1:12" ht="45" customHeight="1">
      <c r="A1187" s="37">
        <v>759</v>
      </c>
      <c r="B1187" s="98" t="s">
        <v>267</v>
      </c>
      <c r="C1187" s="99" t="s">
        <v>204</v>
      </c>
      <c r="D1187" s="137" t="s">
        <v>17</v>
      </c>
      <c r="E1187" s="138" t="s">
        <v>205</v>
      </c>
      <c r="F1187" s="41">
        <v>33.3312</v>
      </c>
      <c r="G1187" s="42">
        <v>88210.02</v>
      </c>
      <c r="H1187" s="51" t="s">
        <v>63</v>
      </c>
      <c r="I1187" s="224"/>
      <c r="L1187" s="74"/>
    </row>
    <row r="1188" spans="1:14" ht="32.25" customHeight="1" hidden="1">
      <c r="A1188" s="37"/>
      <c r="B1188" s="45" t="s">
        <v>59</v>
      </c>
      <c r="C1188" s="46"/>
      <c r="D1188" s="40"/>
      <c r="E1188" s="41"/>
      <c r="F1188" s="41"/>
      <c r="G1188" s="42">
        <f>SUM(G1173:G1187)</f>
        <v>124550</v>
      </c>
      <c r="H1188" s="51"/>
      <c r="I1188" s="224"/>
      <c r="K1188" s="12">
        <f>SUM(K1173:K1187)</f>
        <v>0</v>
      </c>
      <c r="L1188" s="74">
        <f>G1188-K1188</f>
        <v>124550</v>
      </c>
      <c r="N1188" s="12">
        <f>M1188-K1188</f>
        <v>0</v>
      </c>
    </row>
    <row r="1189" spans="1:12" ht="30" customHeight="1">
      <c r="A1189" s="37">
        <v>760</v>
      </c>
      <c r="B1189" s="38" t="s">
        <v>268</v>
      </c>
      <c r="C1189" s="40" t="s">
        <v>70</v>
      </c>
      <c r="D1189" s="40" t="s">
        <v>62</v>
      </c>
      <c r="E1189" s="41" t="s">
        <v>34</v>
      </c>
      <c r="F1189" s="69">
        <v>4</v>
      </c>
      <c r="G1189" s="42">
        <v>82.1</v>
      </c>
      <c r="H1189" s="51" t="s">
        <v>63</v>
      </c>
      <c r="I1189" s="224"/>
      <c r="L1189" s="74"/>
    </row>
    <row r="1190" spans="1:12" ht="30" customHeight="1">
      <c r="A1190" s="37">
        <v>761</v>
      </c>
      <c r="B1190" s="40" t="s">
        <v>269</v>
      </c>
      <c r="C1190" s="40" t="s">
        <v>270</v>
      </c>
      <c r="D1190" s="40" t="s">
        <v>62</v>
      </c>
      <c r="E1190" s="41" t="s">
        <v>34</v>
      </c>
      <c r="F1190" s="69">
        <v>0.3</v>
      </c>
      <c r="G1190" s="42">
        <v>112.32</v>
      </c>
      <c r="H1190" s="51" t="s">
        <v>63</v>
      </c>
      <c r="I1190" s="224"/>
      <c r="L1190" s="74"/>
    </row>
    <row r="1191" spans="1:12" ht="30" customHeight="1">
      <c r="A1191" s="37">
        <v>762</v>
      </c>
      <c r="B1191" s="38" t="s">
        <v>218</v>
      </c>
      <c r="C1191" s="43" t="s">
        <v>219</v>
      </c>
      <c r="D1191" s="40" t="s">
        <v>62</v>
      </c>
      <c r="E1191" s="41" t="s">
        <v>34</v>
      </c>
      <c r="F1191" s="69">
        <v>3</v>
      </c>
      <c r="G1191" s="42">
        <v>68.8</v>
      </c>
      <c r="H1191" s="51" t="s">
        <v>63</v>
      </c>
      <c r="I1191" s="224"/>
      <c r="L1191" s="74"/>
    </row>
    <row r="1192" spans="1:12" ht="30" customHeight="1">
      <c r="A1192" s="37">
        <v>763</v>
      </c>
      <c r="B1192" s="38" t="s">
        <v>216</v>
      </c>
      <c r="C1192" s="40" t="s">
        <v>217</v>
      </c>
      <c r="D1192" s="40" t="s">
        <v>62</v>
      </c>
      <c r="E1192" s="41" t="s">
        <v>34</v>
      </c>
      <c r="F1192" s="69">
        <v>17</v>
      </c>
      <c r="G1192" s="42">
        <v>324.1</v>
      </c>
      <c r="H1192" s="51" t="s">
        <v>63</v>
      </c>
      <c r="I1192" s="224"/>
      <c r="L1192" s="74"/>
    </row>
    <row r="1193" spans="1:12" ht="30" customHeight="1">
      <c r="A1193" s="37">
        <v>764</v>
      </c>
      <c r="B1193" s="38" t="s">
        <v>64</v>
      </c>
      <c r="C1193" s="40" t="s">
        <v>65</v>
      </c>
      <c r="D1193" s="40" t="s">
        <v>62</v>
      </c>
      <c r="E1193" s="41" t="s">
        <v>34</v>
      </c>
      <c r="F1193" s="69">
        <v>350</v>
      </c>
      <c r="G1193" s="42">
        <v>5985</v>
      </c>
      <c r="H1193" s="51" t="s">
        <v>63</v>
      </c>
      <c r="I1193" s="224"/>
      <c r="L1193" s="74"/>
    </row>
    <row r="1194" spans="1:12" ht="30" customHeight="1">
      <c r="A1194" s="37">
        <v>765</v>
      </c>
      <c r="B1194" s="38" t="s">
        <v>71</v>
      </c>
      <c r="C1194" s="71" t="s">
        <v>72</v>
      </c>
      <c r="D1194" s="40" t="s">
        <v>62</v>
      </c>
      <c r="E1194" s="41" t="s">
        <v>34</v>
      </c>
      <c r="F1194" s="69">
        <v>38</v>
      </c>
      <c r="G1194" s="42">
        <v>601.8</v>
      </c>
      <c r="H1194" s="51" t="s">
        <v>63</v>
      </c>
      <c r="I1194" s="224"/>
      <c r="L1194" s="74"/>
    </row>
    <row r="1195" spans="1:12" ht="30" customHeight="1">
      <c r="A1195" s="37">
        <v>766</v>
      </c>
      <c r="B1195" s="38" t="s">
        <v>73</v>
      </c>
      <c r="C1195" s="40" t="s">
        <v>74</v>
      </c>
      <c r="D1195" s="40" t="s">
        <v>62</v>
      </c>
      <c r="E1195" s="41" t="s">
        <v>34</v>
      </c>
      <c r="F1195" s="69">
        <v>24</v>
      </c>
      <c r="G1195" s="42">
        <v>561.8</v>
      </c>
      <c r="H1195" s="51" t="s">
        <v>63</v>
      </c>
      <c r="I1195" s="224"/>
      <c r="L1195" s="74"/>
    </row>
    <row r="1196" spans="1:12" ht="30" customHeight="1">
      <c r="A1196" s="37">
        <v>767</v>
      </c>
      <c r="B1196" s="38" t="s">
        <v>75</v>
      </c>
      <c r="C1196" s="71" t="s">
        <v>76</v>
      </c>
      <c r="D1196" s="40" t="s">
        <v>62</v>
      </c>
      <c r="E1196" s="41" t="s">
        <v>77</v>
      </c>
      <c r="F1196" s="69">
        <v>12</v>
      </c>
      <c r="G1196" s="42">
        <v>893.4</v>
      </c>
      <c r="H1196" s="51" t="s">
        <v>63</v>
      </c>
      <c r="I1196" s="224"/>
      <c r="L1196" s="74"/>
    </row>
    <row r="1197" spans="1:12" ht="30" customHeight="1">
      <c r="A1197" s="37">
        <v>768</v>
      </c>
      <c r="B1197" s="38" t="s">
        <v>78</v>
      </c>
      <c r="C1197" s="40" t="s">
        <v>79</v>
      </c>
      <c r="D1197" s="40" t="s">
        <v>62</v>
      </c>
      <c r="E1197" s="41" t="s">
        <v>34</v>
      </c>
      <c r="F1197" s="69">
        <v>16</v>
      </c>
      <c r="G1197" s="42">
        <v>4924.6</v>
      </c>
      <c r="H1197" s="51" t="s">
        <v>63</v>
      </c>
      <c r="I1197" s="224"/>
      <c r="L1197" s="74"/>
    </row>
    <row r="1198" spans="1:12" ht="30" customHeight="1">
      <c r="A1198" s="37">
        <v>769</v>
      </c>
      <c r="B1198" s="38" t="s">
        <v>271</v>
      </c>
      <c r="C1198" s="40" t="s">
        <v>272</v>
      </c>
      <c r="D1198" s="40" t="s">
        <v>62</v>
      </c>
      <c r="E1198" s="41" t="s">
        <v>34</v>
      </c>
      <c r="F1198" s="69">
        <v>1.25</v>
      </c>
      <c r="G1198" s="42">
        <v>140.43</v>
      </c>
      <c r="H1198" s="51" t="s">
        <v>63</v>
      </c>
      <c r="I1198" s="224"/>
      <c r="L1198" s="74"/>
    </row>
    <row r="1199" spans="1:12" ht="45" customHeight="1">
      <c r="A1199" s="37">
        <v>770</v>
      </c>
      <c r="B1199" s="38" t="s">
        <v>80</v>
      </c>
      <c r="C1199" s="40" t="s">
        <v>81</v>
      </c>
      <c r="D1199" s="40" t="s">
        <v>62</v>
      </c>
      <c r="E1199" s="41" t="s">
        <v>82</v>
      </c>
      <c r="F1199" s="69">
        <f>2.7+5.4</f>
        <v>8.100000000000001</v>
      </c>
      <c r="G1199" s="42">
        <v>331.02</v>
      </c>
      <c r="H1199" s="51" t="s">
        <v>63</v>
      </c>
      <c r="I1199" s="224"/>
      <c r="L1199" s="74"/>
    </row>
    <row r="1200" spans="1:12" ht="30" customHeight="1">
      <c r="A1200" s="37">
        <v>771</v>
      </c>
      <c r="B1200" s="38" t="s">
        <v>83</v>
      </c>
      <c r="C1200" s="40" t="s">
        <v>72</v>
      </c>
      <c r="D1200" s="40" t="s">
        <v>62</v>
      </c>
      <c r="E1200" s="41" t="s">
        <v>34</v>
      </c>
      <c r="F1200" s="69">
        <v>44</v>
      </c>
      <c r="G1200" s="42">
        <v>1136</v>
      </c>
      <c r="H1200" s="51" t="s">
        <v>63</v>
      </c>
      <c r="I1200" s="224"/>
      <c r="L1200" s="74"/>
    </row>
    <row r="1201" spans="1:12" ht="30" customHeight="1">
      <c r="A1201" s="37">
        <v>772</v>
      </c>
      <c r="B1201" s="38" t="s">
        <v>220</v>
      </c>
      <c r="C1201" s="40" t="s">
        <v>221</v>
      </c>
      <c r="D1201" s="40" t="s">
        <v>62</v>
      </c>
      <c r="E1201" s="41" t="s">
        <v>34</v>
      </c>
      <c r="F1201" s="69">
        <v>25</v>
      </c>
      <c r="G1201" s="42">
        <v>329</v>
      </c>
      <c r="H1201" s="51" t="s">
        <v>63</v>
      </c>
      <c r="I1201" s="224"/>
      <c r="L1201" s="74"/>
    </row>
    <row r="1202" spans="1:12" ht="44.25" customHeight="1">
      <c r="A1202" s="37">
        <v>773</v>
      </c>
      <c r="B1202" s="38" t="s">
        <v>84</v>
      </c>
      <c r="C1202" s="40" t="s">
        <v>85</v>
      </c>
      <c r="D1202" s="40" t="s">
        <v>62</v>
      </c>
      <c r="E1202" s="41" t="s">
        <v>34</v>
      </c>
      <c r="F1202" s="69">
        <f>9.75+9.75</f>
        <v>19.5</v>
      </c>
      <c r="G1202" s="42">
        <v>2290.28</v>
      </c>
      <c r="H1202" s="51" t="s">
        <v>63</v>
      </c>
      <c r="I1202" s="224"/>
      <c r="L1202" s="74"/>
    </row>
    <row r="1203" spans="1:12" ht="30" customHeight="1">
      <c r="A1203" s="37">
        <v>774</v>
      </c>
      <c r="B1203" s="38" t="s">
        <v>665</v>
      </c>
      <c r="C1203" s="40" t="s">
        <v>666</v>
      </c>
      <c r="D1203" s="40" t="s">
        <v>62</v>
      </c>
      <c r="E1203" s="41" t="s">
        <v>34</v>
      </c>
      <c r="F1203" s="69">
        <f>41</f>
        <v>41</v>
      </c>
      <c r="G1203" s="42">
        <v>5838.72</v>
      </c>
      <c r="H1203" s="51" t="s">
        <v>63</v>
      </c>
      <c r="I1203" s="224"/>
      <c r="L1203" s="74"/>
    </row>
    <row r="1204" spans="1:12" ht="30" customHeight="1">
      <c r="A1204" s="37">
        <v>775</v>
      </c>
      <c r="B1204" s="38" t="s">
        <v>88</v>
      </c>
      <c r="C1204" s="40" t="s">
        <v>85</v>
      </c>
      <c r="D1204" s="40" t="s">
        <v>62</v>
      </c>
      <c r="E1204" s="41" t="s">
        <v>34</v>
      </c>
      <c r="F1204" s="69">
        <v>12</v>
      </c>
      <c r="G1204" s="42">
        <v>1487.4</v>
      </c>
      <c r="H1204" s="51" t="s">
        <v>63</v>
      </c>
      <c r="I1204" s="224"/>
      <c r="L1204" s="74"/>
    </row>
    <row r="1205" spans="1:12" ht="30" customHeight="1">
      <c r="A1205" s="37">
        <v>776</v>
      </c>
      <c r="B1205" s="38" t="s">
        <v>89</v>
      </c>
      <c r="C1205" s="40" t="s">
        <v>90</v>
      </c>
      <c r="D1205" s="40" t="s">
        <v>62</v>
      </c>
      <c r="E1205" s="41" t="s">
        <v>34</v>
      </c>
      <c r="F1205" s="69">
        <v>32</v>
      </c>
      <c r="G1205" s="42">
        <v>1586</v>
      </c>
      <c r="H1205" s="51" t="s">
        <v>63</v>
      </c>
      <c r="I1205" s="224"/>
      <c r="L1205" s="74"/>
    </row>
    <row r="1206" spans="1:12" ht="30" customHeight="1">
      <c r="A1206" s="37">
        <v>777</v>
      </c>
      <c r="B1206" s="38" t="s">
        <v>91</v>
      </c>
      <c r="C1206" s="40" t="s">
        <v>273</v>
      </c>
      <c r="D1206" s="40" t="s">
        <v>62</v>
      </c>
      <c r="E1206" s="41" t="s">
        <v>34</v>
      </c>
      <c r="F1206" s="69">
        <v>42</v>
      </c>
      <c r="G1206" s="42">
        <v>7020.7</v>
      </c>
      <c r="H1206" s="51" t="s">
        <v>63</v>
      </c>
      <c r="I1206" s="224"/>
      <c r="L1206" s="74"/>
    </row>
    <row r="1207" spans="1:12" ht="30" customHeight="1">
      <c r="A1207" s="37">
        <v>778</v>
      </c>
      <c r="B1207" s="38" t="s">
        <v>222</v>
      </c>
      <c r="C1207" s="40" t="s">
        <v>223</v>
      </c>
      <c r="D1207" s="40" t="s">
        <v>62</v>
      </c>
      <c r="E1207" s="41" t="s">
        <v>34</v>
      </c>
      <c r="F1207" s="69">
        <v>26</v>
      </c>
      <c r="G1207" s="42">
        <v>505.6</v>
      </c>
      <c r="H1207" s="51" t="s">
        <v>63</v>
      </c>
      <c r="I1207" s="224"/>
      <c r="L1207" s="74"/>
    </row>
    <row r="1208" spans="1:12" ht="30" customHeight="1">
      <c r="A1208" s="37">
        <v>779</v>
      </c>
      <c r="B1208" s="38" t="s">
        <v>274</v>
      </c>
      <c r="C1208" s="40" t="s">
        <v>275</v>
      </c>
      <c r="D1208" s="40" t="s">
        <v>62</v>
      </c>
      <c r="E1208" s="41" t="s">
        <v>34</v>
      </c>
      <c r="F1208" s="69">
        <v>40</v>
      </c>
      <c r="G1208" s="42">
        <v>1518</v>
      </c>
      <c r="H1208" s="51" t="s">
        <v>63</v>
      </c>
      <c r="I1208" s="224"/>
      <c r="L1208" s="74"/>
    </row>
    <row r="1209" spans="1:12" ht="30" customHeight="1">
      <c r="A1209" s="37">
        <v>780</v>
      </c>
      <c r="B1209" s="38" t="s">
        <v>93</v>
      </c>
      <c r="C1209" s="40" t="s">
        <v>94</v>
      </c>
      <c r="D1209" s="40" t="s">
        <v>62</v>
      </c>
      <c r="E1209" s="41" t="s">
        <v>34</v>
      </c>
      <c r="F1209" s="69">
        <f>1.52+12.16</f>
        <v>13.68</v>
      </c>
      <c r="G1209" s="42">
        <v>1776.73</v>
      </c>
      <c r="H1209" s="51" t="s">
        <v>63</v>
      </c>
      <c r="I1209" s="224"/>
      <c r="L1209" s="74"/>
    </row>
    <row r="1210" spans="1:12" ht="30" customHeight="1">
      <c r="A1210" s="37">
        <v>781</v>
      </c>
      <c r="B1210" s="38" t="s">
        <v>224</v>
      </c>
      <c r="C1210" s="40" t="s">
        <v>225</v>
      </c>
      <c r="D1210" s="40" t="s">
        <v>62</v>
      </c>
      <c r="E1210" s="41" t="s">
        <v>34</v>
      </c>
      <c r="F1210" s="69">
        <v>9</v>
      </c>
      <c r="G1210" s="42">
        <v>113.4</v>
      </c>
      <c r="H1210" s="51" t="s">
        <v>63</v>
      </c>
      <c r="I1210" s="224"/>
      <c r="L1210" s="74"/>
    </row>
    <row r="1211" spans="1:12" ht="30" customHeight="1">
      <c r="A1211" s="37">
        <v>782</v>
      </c>
      <c r="B1211" s="40" t="s">
        <v>226</v>
      </c>
      <c r="C1211" s="40" t="s">
        <v>227</v>
      </c>
      <c r="D1211" s="40" t="s">
        <v>62</v>
      </c>
      <c r="E1211" s="41" t="s">
        <v>34</v>
      </c>
      <c r="F1211" s="69">
        <v>11</v>
      </c>
      <c r="G1211" s="42">
        <v>1494.6</v>
      </c>
      <c r="H1211" s="51" t="s">
        <v>63</v>
      </c>
      <c r="I1211" s="224"/>
      <c r="L1211" s="74"/>
    </row>
    <row r="1212" spans="1:12" ht="30" customHeight="1">
      <c r="A1212" s="37">
        <v>783</v>
      </c>
      <c r="B1212" s="40" t="s">
        <v>276</v>
      </c>
      <c r="C1212" s="40" t="s">
        <v>277</v>
      </c>
      <c r="D1212" s="40" t="s">
        <v>62</v>
      </c>
      <c r="E1212" s="41" t="s">
        <v>34</v>
      </c>
      <c r="F1212" s="69">
        <v>7</v>
      </c>
      <c r="G1212" s="42">
        <v>1313.4</v>
      </c>
      <c r="H1212" s="51" t="s">
        <v>63</v>
      </c>
      <c r="I1212" s="224"/>
      <c r="L1212" s="74"/>
    </row>
    <row r="1213" spans="1:12" ht="30" customHeight="1">
      <c r="A1213" s="37">
        <v>784</v>
      </c>
      <c r="B1213" s="40" t="s">
        <v>95</v>
      </c>
      <c r="C1213" s="40" t="s">
        <v>96</v>
      </c>
      <c r="D1213" s="40" t="s">
        <v>62</v>
      </c>
      <c r="E1213" s="41" t="s">
        <v>34</v>
      </c>
      <c r="F1213" s="69">
        <v>62</v>
      </c>
      <c r="G1213" s="42">
        <v>12990.7</v>
      </c>
      <c r="H1213" s="51" t="s">
        <v>63</v>
      </c>
      <c r="I1213" s="224"/>
      <c r="L1213" s="74"/>
    </row>
    <row r="1214" spans="1:12" ht="30" customHeight="1">
      <c r="A1214" s="37">
        <v>785</v>
      </c>
      <c r="B1214" s="40" t="s">
        <v>667</v>
      </c>
      <c r="C1214" s="40" t="s">
        <v>668</v>
      </c>
      <c r="D1214" s="40" t="s">
        <v>62</v>
      </c>
      <c r="E1214" s="41" t="s">
        <v>34</v>
      </c>
      <c r="F1214" s="69">
        <v>29</v>
      </c>
      <c r="G1214" s="42">
        <v>6299.5</v>
      </c>
      <c r="H1214" s="51" t="s">
        <v>63</v>
      </c>
      <c r="I1214" s="224"/>
      <c r="L1214" s="74"/>
    </row>
    <row r="1215" spans="1:12" ht="45" customHeight="1">
      <c r="A1215" s="37">
        <v>786</v>
      </c>
      <c r="B1215" s="54" t="s">
        <v>98</v>
      </c>
      <c r="C1215" s="40" t="s">
        <v>61</v>
      </c>
      <c r="D1215" s="40" t="s">
        <v>62</v>
      </c>
      <c r="E1215" s="41" t="s">
        <v>25</v>
      </c>
      <c r="F1215" s="69">
        <v>255</v>
      </c>
      <c r="G1215" s="42">
        <v>3253.61</v>
      </c>
      <c r="H1215" s="51" t="s">
        <v>63</v>
      </c>
      <c r="I1215" s="224"/>
      <c r="L1215" s="74"/>
    </row>
    <row r="1216" spans="1:12" ht="30" customHeight="1">
      <c r="A1216" s="37">
        <v>787</v>
      </c>
      <c r="B1216" s="40" t="s">
        <v>99</v>
      </c>
      <c r="C1216" s="40" t="s">
        <v>100</v>
      </c>
      <c r="D1216" s="40" t="s">
        <v>62</v>
      </c>
      <c r="E1216" s="41" t="s">
        <v>34</v>
      </c>
      <c r="F1216" s="69">
        <v>13</v>
      </c>
      <c r="G1216" s="42">
        <v>3815.98</v>
      </c>
      <c r="H1216" s="51" t="s">
        <v>63</v>
      </c>
      <c r="I1216" s="224"/>
      <c r="L1216" s="74"/>
    </row>
    <row r="1217" spans="1:12" ht="30" customHeight="1">
      <c r="A1217" s="37">
        <v>788</v>
      </c>
      <c r="B1217" s="40" t="s">
        <v>228</v>
      </c>
      <c r="C1217" s="40" t="s">
        <v>229</v>
      </c>
      <c r="D1217" s="40" t="s">
        <v>62</v>
      </c>
      <c r="E1217" s="41" t="s">
        <v>34</v>
      </c>
      <c r="F1217" s="69">
        <v>40</v>
      </c>
      <c r="G1217" s="42">
        <v>1722</v>
      </c>
      <c r="H1217" s="51" t="s">
        <v>63</v>
      </c>
      <c r="I1217" s="224"/>
      <c r="L1217" s="74"/>
    </row>
    <row r="1218" spans="1:12" ht="30" customHeight="1">
      <c r="A1218" s="37">
        <v>789</v>
      </c>
      <c r="B1218" s="40" t="s">
        <v>103</v>
      </c>
      <c r="C1218" s="40" t="s">
        <v>104</v>
      </c>
      <c r="D1218" s="40" t="s">
        <v>62</v>
      </c>
      <c r="E1218" s="41" t="s">
        <v>25</v>
      </c>
      <c r="F1218" s="69">
        <v>930</v>
      </c>
      <c r="G1218" s="42">
        <v>4315.2</v>
      </c>
      <c r="H1218" s="51" t="s">
        <v>63</v>
      </c>
      <c r="I1218" s="224"/>
      <c r="L1218" s="74"/>
    </row>
    <row r="1219" spans="1:12" ht="30" customHeight="1">
      <c r="A1219" s="37">
        <v>790</v>
      </c>
      <c r="B1219" s="40" t="s">
        <v>230</v>
      </c>
      <c r="C1219" s="40" t="s">
        <v>231</v>
      </c>
      <c r="D1219" s="40" t="s">
        <v>62</v>
      </c>
      <c r="E1219" s="41" t="s">
        <v>77</v>
      </c>
      <c r="F1219" s="69">
        <v>16</v>
      </c>
      <c r="G1219" s="42">
        <v>952.6</v>
      </c>
      <c r="H1219" s="51" t="s">
        <v>63</v>
      </c>
      <c r="I1219" s="224"/>
      <c r="L1219" s="74"/>
    </row>
    <row r="1220" spans="1:12" ht="30" customHeight="1">
      <c r="A1220" s="37">
        <v>791</v>
      </c>
      <c r="B1220" s="38" t="s">
        <v>232</v>
      </c>
      <c r="C1220" s="40" t="s">
        <v>85</v>
      </c>
      <c r="D1220" s="40" t="s">
        <v>62</v>
      </c>
      <c r="E1220" s="41" t="s">
        <v>34</v>
      </c>
      <c r="F1220" s="69">
        <f>3.9+9.1</f>
        <v>13</v>
      </c>
      <c r="G1220" s="42">
        <v>1530.75</v>
      </c>
      <c r="H1220" s="51" t="s">
        <v>63</v>
      </c>
      <c r="I1220" s="224"/>
      <c r="L1220" s="74"/>
    </row>
    <row r="1221" spans="1:12" ht="30" customHeight="1">
      <c r="A1221" s="37">
        <v>792</v>
      </c>
      <c r="B1221" s="38" t="s">
        <v>105</v>
      </c>
      <c r="C1221" s="40" t="s">
        <v>70</v>
      </c>
      <c r="D1221" s="40" t="s">
        <v>62</v>
      </c>
      <c r="E1221" s="41" t="s">
        <v>34</v>
      </c>
      <c r="F1221" s="69">
        <v>30</v>
      </c>
      <c r="G1221" s="42">
        <v>997</v>
      </c>
      <c r="H1221" s="51" t="s">
        <v>63</v>
      </c>
      <c r="I1221" s="224"/>
      <c r="L1221" s="74"/>
    </row>
    <row r="1222" spans="1:12" ht="30" customHeight="1">
      <c r="A1222" s="37">
        <v>793</v>
      </c>
      <c r="B1222" s="38" t="s">
        <v>278</v>
      </c>
      <c r="C1222" s="40" t="s">
        <v>70</v>
      </c>
      <c r="D1222" s="40" t="s">
        <v>62</v>
      </c>
      <c r="E1222" s="41" t="s">
        <v>34</v>
      </c>
      <c r="F1222" s="69">
        <v>5</v>
      </c>
      <c r="G1222" s="42">
        <v>90.5</v>
      </c>
      <c r="H1222" s="51" t="s">
        <v>63</v>
      </c>
      <c r="I1222" s="224"/>
      <c r="L1222" s="74"/>
    </row>
    <row r="1223" spans="1:12" ht="45" customHeight="1">
      <c r="A1223" s="37">
        <v>794</v>
      </c>
      <c r="B1223" s="38" t="s">
        <v>60</v>
      </c>
      <c r="C1223" s="40" t="s">
        <v>61</v>
      </c>
      <c r="D1223" s="40" t="s">
        <v>62</v>
      </c>
      <c r="E1223" s="41" t="s">
        <v>34</v>
      </c>
      <c r="F1223" s="69">
        <v>3.6</v>
      </c>
      <c r="G1223" s="42">
        <v>156.96</v>
      </c>
      <c r="H1223" s="51" t="s">
        <v>63</v>
      </c>
      <c r="I1223" s="224"/>
      <c r="L1223" s="74"/>
    </row>
    <row r="1224" spans="1:12" ht="32.25" customHeight="1" hidden="1">
      <c r="A1224" s="37"/>
      <c r="B1224" s="178" t="s">
        <v>106</v>
      </c>
      <c r="C1224" s="179"/>
      <c r="D1224" s="40"/>
      <c r="E1224" s="41"/>
      <c r="F1224" s="50"/>
      <c r="G1224" s="42">
        <f>SUM(G1189:G1223)</f>
        <v>76560.00000000001</v>
      </c>
      <c r="H1224" s="51"/>
      <c r="I1224" s="224"/>
      <c r="L1224" s="74"/>
    </row>
    <row r="1225" spans="1:12" ht="30" customHeight="1">
      <c r="A1225" s="37">
        <v>795</v>
      </c>
      <c r="B1225" s="38" t="s">
        <v>279</v>
      </c>
      <c r="C1225" s="40" t="s">
        <v>116</v>
      </c>
      <c r="D1225" s="40" t="s">
        <v>109</v>
      </c>
      <c r="E1225" s="41" t="s">
        <v>113</v>
      </c>
      <c r="F1225" s="50" t="s">
        <v>117</v>
      </c>
      <c r="G1225" s="42">
        <v>492</v>
      </c>
      <c r="H1225" s="137" t="s">
        <v>63</v>
      </c>
      <c r="I1225" s="224"/>
      <c r="K1225" s="12">
        <f>154</f>
        <v>154</v>
      </c>
      <c r="L1225" s="74">
        <f>G1225-K1225</f>
        <v>338</v>
      </c>
    </row>
    <row r="1226" spans="1:12" ht="30" customHeight="1">
      <c r="A1226" s="37">
        <v>796</v>
      </c>
      <c r="B1226" s="38" t="s">
        <v>236</v>
      </c>
      <c r="C1226" s="40" t="s">
        <v>119</v>
      </c>
      <c r="D1226" s="40" t="s">
        <v>109</v>
      </c>
      <c r="E1226" s="41" t="s">
        <v>120</v>
      </c>
      <c r="F1226" s="41" t="s">
        <v>280</v>
      </c>
      <c r="G1226" s="42">
        <v>3624.04</v>
      </c>
      <c r="H1226" s="137" t="s">
        <v>63</v>
      </c>
      <c r="I1226" s="224"/>
      <c r="K1226" s="12">
        <f>1164.69</f>
        <v>1164.69</v>
      </c>
      <c r="L1226" s="74">
        <f>G1226-K1226</f>
        <v>2459.35</v>
      </c>
    </row>
    <row r="1227" spans="1:12" ht="30" customHeight="1">
      <c r="A1227" s="37">
        <v>797</v>
      </c>
      <c r="B1227" s="38" t="s">
        <v>130</v>
      </c>
      <c r="C1227" s="40" t="s">
        <v>131</v>
      </c>
      <c r="D1227" s="40" t="s">
        <v>109</v>
      </c>
      <c r="E1227" s="41" t="s">
        <v>25</v>
      </c>
      <c r="F1227" s="50">
        <v>5</v>
      </c>
      <c r="G1227" s="42">
        <v>1400</v>
      </c>
      <c r="H1227" s="137" t="s">
        <v>19</v>
      </c>
      <c r="I1227" s="224"/>
      <c r="L1227" s="74">
        <f>G1227-K1227</f>
        <v>1400</v>
      </c>
    </row>
    <row r="1228" spans="1:12" ht="30" customHeight="1">
      <c r="A1228" s="37">
        <v>798</v>
      </c>
      <c r="B1228" s="38" t="s">
        <v>130</v>
      </c>
      <c r="C1228" s="40" t="s">
        <v>131</v>
      </c>
      <c r="D1228" s="40" t="s">
        <v>109</v>
      </c>
      <c r="E1228" s="41" t="s">
        <v>25</v>
      </c>
      <c r="F1228" s="50">
        <v>4</v>
      </c>
      <c r="G1228" s="42">
        <v>1120</v>
      </c>
      <c r="H1228" s="137" t="s">
        <v>132</v>
      </c>
      <c r="I1228" s="224"/>
      <c r="L1228" s="74">
        <f>G1228-K1228</f>
        <v>1120</v>
      </c>
    </row>
    <row r="1229" spans="1:12" ht="30" customHeight="1">
      <c r="A1229" s="37">
        <v>799</v>
      </c>
      <c r="B1229" s="98" t="s">
        <v>281</v>
      </c>
      <c r="C1229" s="99" t="s">
        <v>282</v>
      </c>
      <c r="D1229" s="40" t="s">
        <v>109</v>
      </c>
      <c r="E1229" s="41" t="s">
        <v>283</v>
      </c>
      <c r="F1229" s="41">
        <v>3</v>
      </c>
      <c r="G1229" s="42">
        <v>1413</v>
      </c>
      <c r="H1229" s="137" t="s">
        <v>63</v>
      </c>
      <c r="I1229" s="224"/>
      <c r="K1229" s="12">
        <f>470.96</f>
        <v>470.96</v>
      </c>
      <c r="L1229" s="74">
        <f>G1229-K1229</f>
        <v>942.04</v>
      </c>
    </row>
    <row r="1230" spans="1:12" ht="30" customHeight="1">
      <c r="A1230" s="37">
        <v>800</v>
      </c>
      <c r="B1230" s="98" t="s">
        <v>284</v>
      </c>
      <c r="C1230" s="52" t="s">
        <v>239</v>
      </c>
      <c r="D1230" s="40" t="s">
        <v>109</v>
      </c>
      <c r="E1230" s="41" t="s">
        <v>285</v>
      </c>
      <c r="F1230" s="41">
        <v>824</v>
      </c>
      <c r="G1230" s="42">
        <v>2125.92</v>
      </c>
      <c r="H1230" s="137" t="s">
        <v>63</v>
      </c>
      <c r="I1230" s="224"/>
      <c r="L1230" s="74"/>
    </row>
    <row r="1231" spans="1:12" ht="30" customHeight="1">
      <c r="A1231" s="37">
        <v>801</v>
      </c>
      <c r="B1231" s="38" t="s">
        <v>286</v>
      </c>
      <c r="C1231" s="52" t="s">
        <v>239</v>
      </c>
      <c r="D1231" s="40" t="s">
        <v>109</v>
      </c>
      <c r="E1231" s="41" t="s">
        <v>285</v>
      </c>
      <c r="F1231" s="41">
        <v>774</v>
      </c>
      <c r="G1231" s="42">
        <v>2291.04</v>
      </c>
      <c r="H1231" s="40" t="s">
        <v>63</v>
      </c>
      <c r="I1231" s="224"/>
      <c r="L1231" s="74">
        <f>G1231-K1231</f>
        <v>2291.04</v>
      </c>
    </row>
    <row r="1232" spans="1:12" ht="32.25" customHeight="1" hidden="1">
      <c r="A1232" s="37">
        <v>830</v>
      </c>
      <c r="B1232" s="45" t="s">
        <v>136</v>
      </c>
      <c r="C1232" s="46"/>
      <c r="D1232" s="40"/>
      <c r="E1232" s="41"/>
      <c r="F1232" s="41"/>
      <c r="G1232" s="42">
        <f>SUM(G1225:G1231)</f>
        <v>12466</v>
      </c>
      <c r="H1232" s="51"/>
      <c r="I1232" s="224"/>
      <c r="K1232" s="74">
        <f>SUM(K1225:K1231)</f>
        <v>1789.65</v>
      </c>
      <c r="L1232" s="74" t="e">
        <f>SUM(#REF!)</f>
        <v>#REF!</v>
      </c>
    </row>
    <row r="1233" spans="1:11" ht="30" customHeight="1">
      <c r="A1233" s="37">
        <v>802</v>
      </c>
      <c r="B1233" s="38" t="s">
        <v>137</v>
      </c>
      <c r="C1233" s="52" t="s">
        <v>138</v>
      </c>
      <c r="D1233" s="40" t="s">
        <v>139</v>
      </c>
      <c r="E1233" s="41" t="s">
        <v>140</v>
      </c>
      <c r="F1233" s="53">
        <f>G1233/67.76</f>
        <v>3493.358913813459</v>
      </c>
      <c r="G1233" s="42">
        <v>236710</v>
      </c>
      <c r="H1233" s="137" t="s">
        <v>63</v>
      </c>
      <c r="I1233" s="224"/>
      <c r="K1233" s="12">
        <v>97950</v>
      </c>
    </row>
    <row r="1234" spans="1:9" ht="21" customHeight="1" hidden="1">
      <c r="A1234" s="37">
        <v>832</v>
      </c>
      <c r="B1234" s="45" t="s">
        <v>141</v>
      </c>
      <c r="C1234" s="46"/>
      <c r="D1234" s="40"/>
      <c r="E1234" s="41"/>
      <c r="F1234" s="41"/>
      <c r="G1234" s="42">
        <f>SUM(G1233:G1233)</f>
        <v>236710</v>
      </c>
      <c r="H1234" s="51"/>
      <c r="I1234" s="224"/>
    </row>
    <row r="1235" spans="1:9" ht="30" customHeight="1">
      <c r="A1235" s="37">
        <v>803</v>
      </c>
      <c r="B1235" s="38" t="s">
        <v>244</v>
      </c>
      <c r="C1235" s="54" t="s">
        <v>245</v>
      </c>
      <c r="D1235" s="40" t="s">
        <v>246</v>
      </c>
      <c r="E1235" s="41" t="s">
        <v>110</v>
      </c>
      <c r="F1235" s="56">
        <f>G1235/12.72</f>
        <v>37.73584905660377</v>
      </c>
      <c r="G1235" s="42">
        <v>480</v>
      </c>
      <c r="H1235" s="137" t="s">
        <v>63</v>
      </c>
      <c r="I1235" s="224"/>
    </row>
    <row r="1236" spans="1:9" ht="21" customHeight="1" hidden="1">
      <c r="A1236" s="37">
        <v>834</v>
      </c>
      <c r="B1236" s="45" t="s">
        <v>247</v>
      </c>
      <c r="C1236" s="46"/>
      <c r="D1236" s="40"/>
      <c r="E1236" s="41"/>
      <c r="F1236" s="41"/>
      <c r="G1236" s="42">
        <f>G1235</f>
        <v>480</v>
      </c>
      <c r="H1236" s="51"/>
      <c r="I1236" s="224"/>
    </row>
    <row r="1237" spans="1:11" ht="30" customHeight="1">
      <c r="A1237" s="37">
        <v>804</v>
      </c>
      <c r="B1237" s="38" t="s">
        <v>142</v>
      </c>
      <c r="C1237" s="54" t="s">
        <v>143</v>
      </c>
      <c r="D1237" s="40" t="s">
        <v>144</v>
      </c>
      <c r="E1237" s="41" t="s">
        <v>145</v>
      </c>
      <c r="F1237" s="56">
        <f>G1237/4.14243</f>
        <v>2955.753024191115</v>
      </c>
      <c r="G1237" s="42">
        <v>12244</v>
      </c>
      <c r="H1237" s="137" t="s">
        <v>63</v>
      </c>
      <c r="I1237" s="224"/>
      <c r="K1237" s="12">
        <f>3872.63+938.54</f>
        <v>4811.17</v>
      </c>
    </row>
    <row r="1238" spans="1:9" ht="21" customHeight="1" hidden="1">
      <c r="A1238" s="37"/>
      <c r="B1238" s="45" t="s">
        <v>146</v>
      </c>
      <c r="C1238" s="46"/>
      <c r="D1238" s="40"/>
      <c r="E1238" s="41"/>
      <c r="F1238" s="41"/>
      <c r="G1238" s="42">
        <f>G1237</f>
        <v>12244</v>
      </c>
      <c r="H1238" s="51"/>
      <c r="I1238" s="224"/>
    </row>
    <row r="1239" spans="1:9" ht="32.25" customHeight="1" hidden="1">
      <c r="A1239" s="19"/>
      <c r="B1239" s="208" t="s">
        <v>151</v>
      </c>
      <c r="C1239" s="167"/>
      <c r="D1239" s="168"/>
      <c r="E1239" s="207"/>
      <c r="F1239" s="170"/>
      <c r="G1239" s="110"/>
      <c r="H1239" s="171"/>
      <c r="I1239" s="223"/>
    </row>
    <row r="1240" spans="1:9" ht="32.25" customHeight="1" hidden="1">
      <c r="A1240" s="19"/>
      <c r="B1240" s="167" t="s">
        <v>693</v>
      </c>
      <c r="C1240" s="167"/>
      <c r="D1240" s="225" t="s">
        <v>153</v>
      </c>
      <c r="E1240" s="226"/>
      <c r="F1240" s="170"/>
      <c r="G1240" s="110"/>
      <c r="H1240" s="171"/>
      <c r="I1240" s="223"/>
    </row>
    <row r="1241" spans="1:9" ht="32.25" customHeight="1" hidden="1">
      <c r="A1241" s="19"/>
      <c r="B1241" s="167"/>
      <c r="C1241" s="167"/>
      <c r="D1241" s="227" t="s">
        <v>694</v>
      </c>
      <c r="E1241" s="228" t="s">
        <v>692</v>
      </c>
      <c r="F1241" s="170"/>
      <c r="G1241" s="110"/>
      <c r="H1241" s="171"/>
      <c r="I1241" s="223"/>
    </row>
    <row r="1242" spans="1:9" ht="32.25" customHeight="1" hidden="1">
      <c r="A1242" s="19"/>
      <c r="B1242" s="167" t="s">
        <v>156</v>
      </c>
      <c r="C1242" s="167"/>
      <c r="D1242" s="225" t="s">
        <v>157</v>
      </c>
      <c r="E1242" s="226"/>
      <c r="F1242" s="170"/>
      <c r="G1242" s="110"/>
      <c r="H1242" s="171"/>
      <c r="I1242" s="223"/>
    </row>
    <row r="1243" spans="1:9" ht="32.25" customHeight="1" hidden="1">
      <c r="A1243" s="19"/>
      <c r="B1243" s="167" t="s">
        <v>695</v>
      </c>
      <c r="C1243" s="167"/>
      <c r="D1243" s="168"/>
      <c r="E1243" s="207"/>
      <c r="F1243" s="170"/>
      <c r="G1243" s="110"/>
      <c r="H1243" s="171"/>
      <c r="I1243" s="223"/>
    </row>
    <row r="1244" spans="1:9" ht="32.25" customHeight="1" hidden="1">
      <c r="A1244" s="19"/>
      <c r="B1244" s="229" t="s">
        <v>159</v>
      </c>
      <c r="C1244" s="167"/>
      <c r="D1244" s="225" t="s">
        <v>160</v>
      </c>
      <c r="E1244" s="226"/>
      <c r="F1244" s="170"/>
      <c r="G1244" s="110"/>
      <c r="H1244" s="171"/>
      <c r="I1244" s="223"/>
    </row>
    <row r="1245" spans="1:9" ht="32.25" customHeight="1" hidden="1">
      <c r="A1245" s="19"/>
      <c r="B1245" s="230" t="s">
        <v>161</v>
      </c>
      <c r="C1245" s="167"/>
      <c r="D1245" s="168"/>
      <c r="E1245" s="207"/>
      <c r="F1245" s="170"/>
      <c r="G1245" s="110"/>
      <c r="H1245" s="171"/>
      <c r="I1245" s="223"/>
    </row>
    <row r="1246" spans="1:9" ht="32.25" customHeight="1" hidden="1">
      <c r="A1246" s="19"/>
      <c r="B1246" s="169"/>
      <c r="C1246" s="169"/>
      <c r="D1246" s="170"/>
      <c r="E1246" s="170"/>
      <c r="F1246" s="170"/>
      <c r="G1246" s="110"/>
      <c r="H1246" s="171"/>
      <c r="I1246" s="223"/>
    </row>
    <row r="1247" spans="1:9" ht="32.25" customHeight="1" hidden="1">
      <c r="A1247" s="19"/>
      <c r="B1247" s="19"/>
      <c r="C1247" s="190"/>
      <c r="D1247" s="187"/>
      <c r="E1247" s="187"/>
      <c r="F1247" s="209" t="s">
        <v>1</v>
      </c>
      <c r="G1247" s="209"/>
      <c r="H1247" s="8"/>
      <c r="I1247" s="223"/>
    </row>
    <row r="1248" spans="1:9" ht="32.25" customHeight="1" hidden="1">
      <c r="A1248" s="19"/>
      <c r="B1248" s="190" t="s">
        <v>687</v>
      </c>
      <c r="C1248" s="8"/>
      <c r="D1248" s="187"/>
      <c r="E1248" s="187"/>
      <c r="F1248" s="209"/>
      <c r="G1248" s="209"/>
      <c r="H1248" s="8"/>
      <c r="I1248" s="223"/>
    </row>
    <row r="1249" spans="1:9" ht="32.25" customHeight="1" hidden="1">
      <c r="A1249" s="19"/>
      <c r="B1249" s="167"/>
      <c r="C1249" s="167"/>
      <c r="D1249" s="168"/>
      <c r="E1249" s="207"/>
      <c r="F1249" s="207"/>
      <c r="G1249" s="110"/>
      <c r="H1249" s="8"/>
      <c r="I1249" s="223"/>
    </row>
    <row r="1250" spans="1:9" ht="32.25" customHeight="1" hidden="1">
      <c r="A1250" s="191" t="s">
        <v>162</v>
      </c>
      <c r="B1250" s="191"/>
      <c r="C1250" s="191"/>
      <c r="D1250" s="191"/>
      <c r="E1250" s="191"/>
      <c r="F1250" s="191"/>
      <c r="G1250" s="191"/>
      <c r="H1250" s="191"/>
      <c r="I1250" s="191"/>
    </row>
    <row r="1251" spans="1:9" ht="32.25" customHeight="1" hidden="1">
      <c r="A1251" s="191"/>
      <c r="B1251" s="191"/>
      <c r="C1251" s="191"/>
      <c r="D1251" s="191"/>
      <c r="E1251" s="191"/>
      <c r="F1251" s="191"/>
      <c r="G1251" s="191"/>
      <c r="H1251" s="191"/>
      <c r="I1251" s="191"/>
    </row>
    <row r="1252" spans="1:9" s="7" customFormat="1" ht="29.25" customHeight="1">
      <c r="A1252" s="35" t="s">
        <v>683</v>
      </c>
      <c r="B1252" s="173"/>
      <c r="C1252" s="173"/>
      <c r="D1252" s="173"/>
      <c r="E1252" s="173"/>
      <c r="F1252" s="173"/>
      <c r="G1252" s="173"/>
      <c r="H1252" s="173"/>
      <c r="I1252" s="173"/>
    </row>
    <row r="1253" spans="3:9" ht="12" customHeight="1" hidden="1">
      <c r="C1253" s="145"/>
      <c r="D1253" s="60" t="s">
        <v>4</v>
      </c>
      <c r="E1253" s="145"/>
      <c r="F1253" s="145"/>
      <c r="G1253" s="62"/>
      <c r="H1253" s="61"/>
      <c r="I1253" s="61"/>
    </row>
    <row r="1254" ht="5.25" customHeight="1" hidden="1"/>
    <row r="1255" spans="1:11" ht="15.75" customHeight="1" hidden="1">
      <c r="A1255" s="26" t="s">
        <v>5</v>
      </c>
      <c r="B1255" s="27" t="s">
        <v>6</v>
      </c>
      <c r="C1255" s="28" t="s">
        <v>7</v>
      </c>
      <c r="D1255" s="63" t="s">
        <v>8</v>
      </c>
      <c r="E1255" s="28" t="s">
        <v>9</v>
      </c>
      <c r="F1255" s="28" t="s">
        <v>10</v>
      </c>
      <c r="G1255" s="64" t="s">
        <v>11</v>
      </c>
      <c r="H1255" s="63" t="s">
        <v>12</v>
      </c>
      <c r="I1255" s="63" t="s">
        <v>13</v>
      </c>
      <c r="J1255" s="71"/>
      <c r="K1255" s="71"/>
    </row>
    <row r="1256" spans="1:9" ht="31.5" customHeight="1" hidden="1">
      <c r="A1256" s="29"/>
      <c r="B1256" s="30"/>
      <c r="C1256" s="31"/>
      <c r="D1256" s="65"/>
      <c r="E1256" s="31"/>
      <c r="F1256" s="31"/>
      <c r="G1256" s="66"/>
      <c r="H1256" s="65"/>
      <c r="I1256" s="65"/>
    </row>
    <row r="1257" spans="1:9" ht="75" customHeight="1" hidden="1">
      <c r="A1257" s="32"/>
      <c r="B1257" s="33"/>
      <c r="C1257" s="34"/>
      <c r="D1257" s="67"/>
      <c r="E1257" s="34"/>
      <c r="F1257" s="34"/>
      <c r="G1257" s="68"/>
      <c r="H1257" s="67"/>
      <c r="I1257" s="67"/>
    </row>
    <row r="1258" spans="1:9" ht="20.25" customHeight="1" hidden="1">
      <c r="A1258" s="32">
        <v>1</v>
      </c>
      <c r="B1258" s="33">
        <v>2</v>
      </c>
      <c r="C1258" s="34">
        <v>3</v>
      </c>
      <c r="D1258" s="67">
        <v>4</v>
      </c>
      <c r="E1258" s="34">
        <v>5</v>
      </c>
      <c r="F1258" s="34">
        <v>6</v>
      </c>
      <c r="G1258" s="68">
        <v>7</v>
      </c>
      <c r="H1258" s="67">
        <v>8</v>
      </c>
      <c r="I1258" s="76">
        <v>9</v>
      </c>
    </row>
    <row r="1259" spans="1:12" ht="30" customHeight="1">
      <c r="A1259" s="269">
        <v>805</v>
      </c>
      <c r="B1259" s="98" t="s">
        <v>15</v>
      </c>
      <c r="C1259" s="94" t="s">
        <v>16</v>
      </c>
      <c r="D1259" s="137" t="s">
        <v>17</v>
      </c>
      <c r="E1259" s="138" t="s">
        <v>18</v>
      </c>
      <c r="F1259" s="138">
        <v>15</v>
      </c>
      <c r="G1259" s="139">
        <v>3150</v>
      </c>
      <c r="H1259" s="276" t="s">
        <v>63</v>
      </c>
      <c r="I1259" s="73" t="s">
        <v>253</v>
      </c>
      <c r="L1259" s="74">
        <f>G1259-K1259</f>
        <v>3150</v>
      </c>
    </row>
    <row r="1260" spans="1:12" ht="60" customHeight="1">
      <c r="A1260" s="269">
        <v>806</v>
      </c>
      <c r="B1260" s="98" t="s">
        <v>163</v>
      </c>
      <c r="C1260" s="277" t="s">
        <v>164</v>
      </c>
      <c r="D1260" s="137" t="s">
        <v>17</v>
      </c>
      <c r="E1260" s="138" t="s">
        <v>165</v>
      </c>
      <c r="F1260" s="138">
        <v>1</v>
      </c>
      <c r="G1260" s="139">
        <v>660.02</v>
      </c>
      <c r="H1260" s="276" t="s">
        <v>63</v>
      </c>
      <c r="I1260" s="100"/>
      <c r="L1260" s="74"/>
    </row>
    <row r="1261" spans="1:12" ht="30" customHeight="1">
      <c r="A1261" s="269">
        <v>807</v>
      </c>
      <c r="B1261" s="98" t="s">
        <v>166</v>
      </c>
      <c r="C1261" s="277" t="s">
        <v>16</v>
      </c>
      <c r="D1261" s="137" t="s">
        <v>17</v>
      </c>
      <c r="E1261" s="138" t="s">
        <v>25</v>
      </c>
      <c r="F1261" s="138">
        <v>20</v>
      </c>
      <c r="G1261" s="139">
        <v>404.6</v>
      </c>
      <c r="H1261" s="276" t="s">
        <v>63</v>
      </c>
      <c r="I1261" s="100"/>
      <c r="L1261" s="74"/>
    </row>
    <row r="1262" spans="1:12" ht="45" customHeight="1">
      <c r="A1262" s="269">
        <v>808</v>
      </c>
      <c r="B1262" s="98" t="s">
        <v>167</v>
      </c>
      <c r="C1262" s="277" t="s">
        <v>168</v>
      </c>
      <c r="D1262" s="137" t="s">
        <v>17</v>
      </c>
      <c r="E1262" s="138" t="s">
        <v>25</v>
      </c>
      <c r="F1262" s="138">
        <v>6</v>
      </c>
      <c r="G1262" s="139">
        <v>518.88</v>
      </c>
      <c r="H1262" s="276" t="s">
        <v>63</v>
      </c>
      <c r="I1262" s="100"/>
      <c r="L1262" s="74"/>
    </row>
    <row r="1263" spans="1:12" ht="30" customHeight="1">
      <c r="A1263" s="269">
        <v>809</v>
      </c>
      <c r="B1263" s="98" t="s">
        <v>169</v>
      </c>
      <c r="C1263" s="277" t="s">
        <v>24</v>
      </c>
      <c r="D1263" s="137" t="s">
        <v>17</v>
      </c>
      <c r="E1263" s="138" t="s">
        <v>25</v>
      </c>
      <c r="F1263" s="138">
        <v>11</v>
      </c>
      <c r="G1263" s="139">
        <v>157.63</v>
      </c>
      <c r="H1263" s="276" t="s">
        <v>63</v>
      </c>
      <c r="I1263" s="100"/>
      <c r="L1263" s="74"/>
    </row>
    <row r="1264" spans="1:12" ht="30" customHeight="1">
      <c r="A1264" s="269">
        <v>810</v>
      </c>
      <c r="B1264" s="98" t="s">
        <v>170</v>
      </c>
      <c r="C1264" s="277" t="s">
        <v>171</v>
      </c>
      <c r="D1264" s="137" t="s">
        <v>17</v>
      </c>
      <c r="E1264" s="138" t="s">
        <v>25</v>
      </c>
      <c r="F1264" s="138">
        <v>10</v>
      </c>
      <c r="G1264" s="139">
        <v>190.2</v>
      </c>
      <c r="H1264" s="276" t="s">
        <v>63</v>
      </c>
      <c r="I1264" s="100"/>
      <c r="L1264" s="74"/>
    </row>
    <row r="1265" spans="1:12" ht="30" customHeight="1">
      <c r="A1265" s="269">
        <v>811</v>
      </c>
      <c r="B1265" s="98" t="s">
        <v>172</v>
      </c>
      <c r="C1265" s="277" t="s">
        <v>24</v>
      </c>
      <c r="D1265" s="137" t="s">
        <v>17</v>
      </c>
      <c r="E1265" s="138" t="s">
        <v>25</v>
      </c>
      <c r="F1265" s="138">
        <v>1</v>
      </c>
      <c r="G1265" s="139">
        <v>124.06</v>
      </c>
      <c r="H1265" s="276" t="s">
        <v>63</v>
      </c>
      <c r="I1265" s="100"/>
      <c r="L1265" s="74"/>
    </row>
    <row r="1266" spans="1:12" ht="60" customHeight="1">
      <c r="A1266" s="269">
        <v>812</v>
      </c>
      <c r="B1266" s="98" t="s">
        <v>173</v>
      </c>
      <c r="C1266" s="277" t="s">
        <v>21</v>
      </c>
      <c r="D1266" s="137" t="s">
        <v>17</v>
      </c>
      <c r="E1266" s="138" t="s">
        <v>165</v>
      </c>
      <c r="F1266" s="138">
        <v>2</v>
      </c>
      <c r="G1266" s="139">
        <v>740.88</v>
      </c>
      <c r="H1266" s="276" t="s">
        <v>63</v>
      </c>
      <c r="I1266" s="100"/>
      <c r="L1266" s="74"/>
    </row>
    <row r="1267" spans="1:12" ht="30" customHeight="1">
      <c r="A1267" s="269">
        <v>813</v>
      </c>
      <c r="B1267" s="98" t="s">
        <v>174</v>
      </c>
      <c r="C1267" s="277" t="s">
        <v>24</v>
      </c>
      <c r="D1267" s="137" t="s">
        <v>17</v>
      </c>
      <c r="E1267" s="138" t="s">
        <v>25</v>
      </c>
      <c r="F1267" s="138">
        <v>4</v>
      </c>
      <c r="G1267" s="139">
        <v>697.96</v>
      </c>
      <c r="H1267" s="276" t="s">
        <v>63</v>
      </c>
      <c r="I1267" s="100"/>
      <c r="L1267" s="74"/>
    </row>
    <row r="1268" spans="1:12" ht="30" customHeight="1">
      <c r="A1268" s="269">
        <v>814</v>
      </c>
      <c r="B1268" s="98" t="s">
        <v>175</v>
      </c>
      <c r="C1268" s="277" t="s">
        <v>16</v>
      </c>
      <c r="D1268" s="137" t="s">
        <v>17</v>
      </c>
      <c r="E1268" s="138" t="s">
        <v>25</v>
      </c>
      <c r="F1268" s="138">
        <v>20</v>
      </c>
      <c r="G1268" s="139">
        <v>264.8</v>
      </c>
      <c r="H1268" s="276" t="s">
        <v>63</v>
      </c>
      <c r="I1268" s="100"/>
      <c r="L1268" s="74"/>
    </row>
    <row r="1269" spans="1:12" ht="30" customHeight="1">
      <c r="A1269" s="269">
        <v>815</v>
      </c>
      <c r="B1269" s="98" t="s">
        <v>176</v>
      </c>
      <c r="C1269" s="277" t="s">
        <v>16</v>
      </c>
      <c r="D1269" s="137" t="s">
        <v>17</v>
      </c>
      <c r="E1269" s="138" t="s">
        <v>25</v>
      </c>
      <c r="F1269" s="138">
        <v>10</v>
      </c>
      <c r="G1269" s="139">
        <v>200</v>
      </c>
      <c r="H1269" s="276" t="s">
        <v>63</v>
      </c>
      <c r="I1269" s="100"/>
      <c r="L1269" s="74"/>
    </row>
    <row r="1270" spans="1:12" ht="30" customHeight="1">
      <c r="A1270" s="269">
        <v>816</v>
      </c>
      <c r="B1270" s="98" t="s">
        <v>177</v>
      </c>
      <c r="C1270" s="277" t="s">
        <v>16</v>
      </c>
      <c r="D1270" s="137" t="s">
        <v>17</v>
      </c>
      <c r="E1270" s="138" t="s">
        <v>25</v>
      </c>
      <c r="F1270" s="138">
        <v>100</v>
      </c>
      <c r="G1270" s="139">
        <v>288</v>
      </c>
      <c r="H1270" s="276" t="s">
        <v>63</v>
      </c>
      <c r="I1270" s="100"/>
      <c r="L1270" s="74"/>
    </row>
    <row r="1271" spans="1:12" ht="30" customHeight="1">
      <c r="A1271" s="269">
        <v>817</v>
      </c>
      <c r="B1271" s="98" t="s">
        <v>178</v>
      </c>
      <c r="C1271" s="277" t="s">
        <v>179</v>
      </c>
      <c r="D1271" s="137" t="s">
        <v>17</v>
      </c>
      <c r="E1271" s="138" t="s">
        <v>25</v>
      </c>
      <c r="F1271" s="138">
        <v>2</v>
      </c>
      <c r="G1271" s="139">
        <v>199.84</v>
      </c>
      <c r="H1271" s="276" t="s">
        <v>63</v>
      </c>
      <c r="I1271" s="100"/>
      <c r="L1271" s="74"/>
    </row>
    <row r="1272" spans="1:12" ht="30" customHeight="1">
      <c r="A1272" s="269">
        <v>818</v>
      </c>
      <c r="B1272" s="98" t="s">
        <v>180</v>
      </c>
      <c r="C1272" s="277" t="s">
        <v>31</v>
      </c>
      <c r="D1272" s="137" t="s">
        <v>17</v>
      </c>
      <c r="E1272" s="138" t="s">
        <v>165</v>
      </c>
      <c r="F1272" s="138">
        <v>10</v>
      </c>
      <c r="G1272" s="139">
        <v>262.6</v>
      </c>
      <c r="H1272" s="276" t="s">
        <v>63</v>
      </c>
      <c r="I1272" s="100"/>
      <c r="L1272" s="74"/>
    </row>
    <row r="1273" spans="1:12" ht="30" customHeight="1">
      <c r="A1273" s="269">
        <v>819</v>
      </c>
      <c r="B1273" s="98" t="s">
        <v>181</v>
      </c>
      <c r="C1273" s="277" t="s">
        <v>24</v>
      </c>
      <c r="D1273" s="137" t="s">
        <v>17</v>
      </c>
      <c r="E1273" s="138" t="s">
        <v>165</v>
      </c>
      <c r="F1273" s="138">
        <v>10</v>
      </c>
      <c r="G1273" s="139">
        <v>356.8</v>
      </c>
      <c r="H1273" s="276" t="s">
        <v>63</v>
      </c>
      <c r="I1273" s="100"/>
      <c r="L1273" s="74"/>
    </row>
    <row r="1274" spans="1:12" ht="30" customHeight="1">
      <c r="A1274" s="269">
        <v>820</v>
      </c>
      <c r="B1274" s="98" t="s">
        <v>182</v>
      </c>
      <c r="C1274" s="277" t="s">
        <v>183</v>
      </c>
      <c r="D1274" s="137" t="s">
        <v>17</v>
      </c>
      <c r="E1274" s="138" t="s">
        <v>184</v>
      </c>
      <c r="F1274" s="138">
        <v>80</v>
      </c>
      <c r="G1274" s="139">
        <v>7060</v>
      </c>
      <c r="H1274" s="276" t="s">
        <v>63</v>
      </c>
      <c r="I1274" s="100"/>
      <c r="L1274" s="74"/>
    </row>
    <row r="1275" spans="1:12" ht="30" customHeight="1">
      <c r="A1275" s="269">
        <v>821</v>
      </c>
      <c r="B1275" s="98" t="s">
        <v>185</v>
      </c>
      <c r="C1275" s="277" t="s">
        <v>44</v>
      </c>
      <c r="D1275" s="137" t="s">
        <v>17</v>
      </c>
      <c r="E1275" s="138" t="s">
        <v>25</v>
      </c>
      <c r="F1275" s="138">
        <v>12</v>
      </c>
      <c r="G1275" s="139">
        <v>240</v>
      </c>
      <c r="H1275" s="276" t="s">
        <v>63</v>
      </c>
      <c r="I1275" s="100"/>
      <c r="L1275" s="74"/>
    </row>
    <row r="1276" spans="1:12" ht="30" customHeight="1">
      <c r="A1276" s="269">
        <v>822</v>
      </c>
      <c r="B1276" s="98" t="s">
        <v>186</v>
      </c>
      <c r="C1276" s="277" t="s">
        <v>179</v>
      </c>
      <c r="D1276" s="137" t="s">
        <v>17</v>
      </c>
      <c r="E1276" s="138" t="s">
        <v>25</v>
      </c>
      <c r="F1276" s="138">
        <v>4</v>
      </c>
      <c r="G1276" s="139">
        <v>472.72</v>
      </c>
      <c r="H1276" s="276" t="s">
        <v>63</v>
      </c>
      <c r="I1276" s="100"/>
      <c r="L1276" s="74"/>
    </row>
    <row r="1277" spans="1:12" ht="30" customHeight="1">
      <c r="A1277" s="269">
        <v>823</v>
      </c>
      <c r="B1277" s="98" t="s">
        <v>187</v>
      </c>
      <c r="C1277" s="277" t="s">
        <v>24</v>
      </c>
      <c r="D1277" s="137" t="s">
        <v>17</v>
      </c>
      <c r="E1277" s="138" t="s">
        <v>25</v>
      </c>
      <c r="F1277" s="138">
        <v>2</v>
      </c>
      <c r="G1277" s="139">
        <v>360</v>
      </c>
      <c r="H1277" s="276" t="s">
        <v>63</v>
      </c>
      <c r="I1277" s="100"/>
      <c r="L1277" s="74"/>
    </row>
    <row r="1278" spans="1:12" ht="30" customHeight="1">
      <c r="A1278" s="269">
        <v>824</v>
      </c>
      <c r="B1278" s="98" t="s">
        <v>188</v>
      </c>
      <c r="C1278" s="277" t="s">
        <v>24</v>
      </c>
      <c r="D1278" s="137" t="s">
        <v>17</v>
      </c>
      <c r="E1278" s="138" t="s">
        <v>25</v>
      </c>
      <c r="F1278" s="138">
        <v>2</v>
      </c>
      <c r="G1278" s="139">
        <v>293.18</v>
      </c>
      <c r="H1278" s="276" t="s">
        <v>63</v>
      </c>
      <c r="I1278" s="100"/>
      <c r="L1278" s="74"/>
    </row>
    <row r="1279" spans="1:12" ht="30" customHeight="1">
      <c r="A1279" s="269">
        <v>825</v>
      </c>
      <c r="B1279" s="98" t="s">
        <v>189</v>
      </c>
      <c r="C1279" s="277" t="s">
        <v>44</v>
      </c>
      <c r="D1279" s="137" t="s">
        <v>17</v>
      </c>
      <c r="E1279" s="138" t="s">
        <v>25</v>
      </c>
      <c r="F1279" s="138">
        <v>1</v>
      </c>
      <c r="G1279" s="139">
        <v>413</v>
      </c>
      <c r="H1279" s="276" t="s">
        <v>63</v>
      </c>
      <c r="I1279" s="100"/>
      <c r="L1279" s="74"/>
    </row>
    <row r="1280" spans="1:12" ht="30" customHeight="1">
      <c r="A1280" s="269">
        <v>826</v>
      </c>
      <c r="B1280" s="98" t="s">
        <v>190</v>
      </c>
      <c r="C1280" s="277" t="s">
        <v>191</v>
      </c>
      <c r="D1280" s="137" t="s">
        <v>17</v>
      </c>
      <c r="E1280" s="138" t="s">
        <v>25</v>
      </c>
      <c r="F1280" s="138">
        <v>1</v>
      </c>
      <c r="G1280" s="139">
        <v>427</v>
      </c>
      <c r="H1280" s="276" t="s">
        <v>63</v>
      </c>
      <c r="I1280" s="100"/>
      <c r="L1280" s="74"/>
    </row>
    <row r="1281" spans="1:12" ht="30" customHeight="1">
      <c r="A1281" s="269">
        <v>827</v>
      </c>
      <c r="B1281" s="98" t="s">
        <v>192</v>
      </c>
      <c r="C1281" s="277" t="s">
        <v>33</v>
      </c>
      <c r="D1281" s="137" t="s">
        <v>17</v>
      </c>
      <c r="E1281" s="138" t="s">
        <v>193</v>
      </c>
      <c r="F1281" s="138">
        <v>60</v>
      </c>
      <c r="G1281" s="139">
        <v>7200</v>
      </c>
      <c r="H1281" s="276" t="s">
        <v>63</v>
      </c>
      <c r="I1281" s="100"/>
      <c r="L1281" s="74"/>
    </row>
    <row r="1282" spans="1:12" ht="30" customHeight="1">
      <c r="A1282" s="269">
        <v>828</v>
      </c>
      <c r="B1282" s="98" t="s">
        <v>194</v>
      </c>
      <c r="C1282" s="277" t="s">
        <v>52</v>
      </c>
      <c r="D1282" s="137" t="s">
        <v>17</v>
      </c>
      <c r="E1282" s="138" t="s">
        <v>25</v>
      </c>
      <c r="F1282" s="138">
        <v>50</v>
      </c>
      <c r="G1282" s="139">
        <v>930.5</v>
      </c>
      <c r="H1282" s="276" t="s">
        <v>63</v>
      </c>
      <c r="I1282" s="100"/>
      <c r="L1282" s="74"/>
    </row>
    <row r="1283" spans="1:12" ht="30" customHeight="1">
      <c r="A1283" s="269">
        <v>829</v>
      </c>
      <c r="B1283" s="98" t="s">
        <v>195</v>
      </c>
      <c r="C1283" s="277" t="s">
        <v>47</v>
      </c>
      <c r="D1283" s="137" t="s">
        <v>17</v>
      </c>
      <c r="E1283" s="138" t="s">
        <v>48</v>
      </c>
      <c r="F1283" s="138">
        <v>12</v>
      </c>
      <c r="G1283" s="139">
        <v>664.92</v>
      </c>
      <c r="H1283" s="276" t="s">
        <v>63</v>
      </c>
      <c r="I1283" s="100"/>
      <c r="L1283" s="74"/>
    </row>
    <row r="1284" spans="1:12" ht="30" customHeight="1">
      <c r="A1284" s="269">
        <v>830</v>
      </c>
      <c r="B1284" s="98" t="s">
        <v>196</v>
      </c>
      <c r="C1284" s="277" t="s">
        <v>197</v>
      </c>
      <c r="D1284" s="137" t="s">
        <v>17</v>
      </c>
      <c r="E1284" s="138" t="s">
        <v>25</v>
      </c>
      <c r="F1284" s="138">
        <v>100</v>
      </c>
      <c r="G1284" s="139">
        <v>63</v>
      </c>
      <c r="H1284" s="276" t="s">
        <v>63</v>
      </c>
      <c r="I1284" s="100"/>
      <c r="L1284" s="74"/>
    </row>
    <row r="1285" spans="1:12" ht="30" customHeight="1">
      <c r="A1285" s="269">
        <v>831</v>
      </c>
      <c r="B1285" s="98" t="s">
        <v>198</v>
      </c>
      <c r="C1285" s="277" t="s">
        <v>197</v>
      </c>
      <c r="D1285" s="137" t="s">
        <v>17</v>
      </c>
      <c r="E1285" s="138" t="s">
        <v>25</v>
      </c>
      <c r="F1285" s="138">
        <v>100</v>
      </c>
      <c r="G1285" s="139">
        <v>65</v>
      </c>
      <c r="H1285" s="276" t="s">
        <v>63</v>
      </c>
      <c r="I1285" s="100"/>
      <c r="L1285" s="74"/>
    </row>
    <row r="1286" spans="1:12" ht="30" customHeight="1">
      <c r="A1286" s="269">
        <v>832</v>
      </c>
      <c r="B1286" s="98" t="s">
        <v>199</v>
      </c>
      <c r="C1286" s="277" t="s">
        <v>200</v>
      </c>
      <c r="D1286" s="137" t="s">
        <v>17</v>
      </c>
      <c r="E1286" s="138" t="s">
        <v>25</v>
      </c>
      <c r="F1286" s="138">
        <v>15</v>
      </c>
      <c r="G1286" s="139">
        <v>3015</v>
      </c>
      <c r="H1286" s="276" t="s">
        <v>63</v>
      </c>
      <c r="I1286" s="100"/>
      <c r="L1286" s="74"/>
    </row>
    <row r="1287" spans="1:12" ht="59.25" customHeight="1">
      <c r="A1287" s="269">
        <v>833</v>
      </c>
      <c r="B1287" s="98" t="s">
        <v>201</v>
      </c>
      <c r="C1287" s="277" t="s">
        <v>21</v>
      </c>
      <c r="D1287" s="137" t="s">
        <v>17</v>
      </c>
      <c r="E1287" s="138" t="s">
        <v>25</v>
      </c>
      <c r="F1287" s="138">
        <v>1</v>
      </c>
      <c r="G1287" s="139">
        <v>90.92</v>
      </c>
      <c r="H1287" s="276" t="s">
        <v>63</v>
      </c>
      <c r="I1287" s="100"/>
      <c r="L1287" s="74"/>
    </row>
    <row r="1288" spans="1:12" ht="30" customHeight="1">
      <c r="A1288" s="269">
        <v>834</v>
      </c>
      <c r="B1288" s="98" t="s">
        <v>202</v>
      </c>
      <c r="C1288" s="99" t="s">
        <v>27</v>
      </c>
      <c r="D1288" s="137" t="s">
        <v>17</v>
      </c>
      <c r="E1288" s="138" t="s">
        <v>25</v>
      </c>
      <c r="F1288" s="138">
        <v>20</v>
      </c>
      <c r="G1288" s="139">
        <v>1187</v>
      </c>
      <c r="H1288" s="276" t="s">
        <v>63</v>
      </c>
      <c r="I1288" s="100"/>
      <c r="L1288" s="74">
        <f>G1288-K1288</f>
        <v>1187</v>
      </c>
    </row>
    <row r="1289" spans="1:12" ht="45" customHeight="1">
      <c r="A1289" s="269">
        <v>835</v>
      </c>
      <c r="B1289" s="98" t="s">
        <v>203</v>
      </c>
      <c r="C1289" s="277" t="s">
        <v>204</v>
      </c>
      <c r="D1289" s="99" t="s">
        <v>17</v>
      </c>
      <c r="E1289" s="162" t="s">
        <v>205</v>
      </c>
      <c r="F1289" s="278">
        <v>54.7824</v>
      </c>
      <c r="G1289" s="279">
        <f>144979.98+11.8</f>
        <v>144991.78</v>
      </c>
      <c r="H1289" s="276" t="s">
        <v>63</v>
      </c>
      <c r="I1289" s="100"/>
      <c r="L1289" s="74"/>
    </row>
    <row r="1290" spans="1:12" ht="45" customHeight="1">
      <c r="A1290" s="269">
        <v>836</v>
      </c>
      <c r="B1290" s="174" t="s">
        <v>206</v>
      </c>
      <c r="C1290" s="174" t="s">
        <v>204</v>
      </c>
      <c r="D1290" s="133" t="s">
        <v>17</v>
      </c>
      <c r="E1290" s="138" t="s">
        <v>207</v>
      </c>
      <c r="F1290" s="280">
        <v>28.8</v>
      </c>
      <c r="G1290" s="279">
        <v>7900.7</v>
      </c>
      <c r="H1290" s="276" t="s">
        <v>63</v>
      </c>
      <c r="I1290" s="100"/>
      <c r="L1290" s="74"/>
    </row>
    <row r="1291" spans="1:12" ht="30" customHeight="1">
      <c r="A1291" s="269">
        <v>837</v>
      </c>
      <c r="B1291" s="221" t="s">
        <v>208</v>
      </c>
      <c r="C1291" s="174" t="s">
        <v>209</v>
      </c>
      <c r="D1291" s="133" t="s">
        <v>17</v>
      </c>
      <c r="E1291" s="138" t="s">
        <v>210</v>
      </c>
      <c r="F1291" s="280">
        <v>26.64</v>
      </c>
      <c r="G1291" s="279">
        <v>5054.67</v>
      </c>
      <c r="H1291" s="276" t="s">
        <v>63</v>
      </c>
      <c r="I1291" s="100"/>
      <c r="L1291" s="74"/>
    </row>
    <row r="1292" spans="1:12" ht="30" customHeight="1">
      <c r="A1292" s="269">
        <v>838</v>
      </c>
      <c r="B1292" s="281" t="s">
        <v>211</v>
      </c>
      <c r="C1292" s="174" t="s">
        <v>212</v>
      </c>
      <c r="D1292" s="133" t="s">
        <v>17</v>
      </c>
      <c r="E1292" s="138" t="s">
        <v>25</v>
      </c>
      <c r="F1292" s="280">
        <v>5</v>
      </c>
      <c r="G1292" s="279">
        <v>5300</v>
      </c>
      <c r="H1292" s="276" t="s">
        <v>63</v>
      </c>
      <c r="I1292" s="100"/>
      <c r="L1292" s="74"/>
    </row>
    <row r="1293" spans="1:12" ht="45" customHeight="1">
      <c r="A1293" s="269">
        <v>839</v>
      </c>
      <c r="B1293" s="98" t="s">
        <v>213</v>
      </c>
      <c r="C1293" s="277" t="s">
        <v>214</v>
      </c>
      <c r="D1293" s="99" t="s">
        <v>17</v>
      </c>
      <c r="E1293" s="162" t="s">
        <v>193</v>
      </c>
      <c r="F1293" s="282">
        <f>190+135</f>
        <v>325</v>
      </c>
      <c r="G1293" s="283">
        <f>3230+2295</f>
        <v>5525</v>
      </c>
      <c r="H1293" s="276" t="s">
        <v>63</v>
      </c>
      <c r="I1293" s="100"/>
      <c r="L1293" s="74"/>
    </row>
    <row r="1294" spans="1:12" ht="30" customHeight="1">
      <c r="A1294" s="269">
        <v>840</v>
      </c>
      <c r="B1294" s="38" t="s">
        <v>57</v>
      </c>
      <c r="C1294" s="40" t="s">
        <v>58</v>
      </c>
      <c r="D1294" s="40" t="s">
        <v>17</v>
      </c>
      <c r="E1294" s="41" t="s">
        <v>25</v>
      </c>
      <c r="F1294" s="41">
        <v>1</v>
      </c>
      <c r="G1294" s="42">
        <v>2500.2</v>
      </c>
      <c r="H1294" s="155" t="s">
        <v>63</v>
      </c>
      <c r="I1294" s="100"/>
      <c r="L1294" s="74"/>
    </row>
    <row r="1295" spans="1:12" ht="43.5" customHeight="1">
      <c r="A1295" s="269">
        <v>841</v>
      </c>
      <c r="B1295" s="98" t="s">
        <v>215</v>
      </c>
      <c r="C1295" s="99" t="s">
        <v>27</v>
      </c>
      <c r="D1295" s="40" t="s">
        <v>17</v>
      </c>
      <c r="E1295" s="41" t="s">
        <v>25</v>
      </c>
      <c r="F1295" s="41">
        <v>3</v>
      </c>
      <c r="G1295" s="42">
        <v>529.14</v>
      </c>
      <c r="H1295" s="276" t="s">
        <v>63</v>
      </c>
      <c r="I1295" s="100"/>
      <c r="L1295" s="74"/>
    </row>
    <row r="1296" spans="1:12" ht="32.25" customHeight="1" hidden="1">
      <c r="A1296" s="37"/>
      <c r="B1296" s="284" t="s">
        <v>59</v>
      </c>
      <c r="C1296" s="285"/>
      <c r="D1296" s="40"/>
      <c r="E1296" s="41"/>
      <c r="F1296" s="41"/>
      <c r="G1296" s="139">
        <f>SUM(G1259:G1295)</f>
        <v>202500.00000000003</v>
      </c>
      <c r="H1296" s="51"/>
      <c r="I1296" s="100"/>
      <c r="L1296" s="74"/>
    </row>
    <row r="1297" spans="1:12" ht="30" customHeight="1">
      <c r="A1297" s="37">
        <v>842</v>
      </c>
      <c r="B1297" s="38" t="s">
        <v>216</v>
      </c>
      <c r="C1297" s="40" t="s">
        <v>217</v>
      </c>
      <c r="D1297" s="40" t="s">
        <v>62</v>
      </c>
      <c r="E1297" s="41" t="s">
        <v>34</v>
      </c>
      <c r="F1297" s="222">
        <v>12</v>
      </c>
      <c r="G1297" s="158">
        <f>83.6+146.4</f>
        <v>230</v>
      </c>
      <c r="H1297" s="276" t="s">
        <v>63</v>
      </c>
      <c r="I1297" s="100"/>
      <c r="L1297" s="74"/>
    </row>
    <row r="1298" spans="1:12" ht="30" customHeight="1">
      <c r="A1298" s="37">
        <v>843</v>
      </c>
      <c r="B1298" s="38" t="s">
        <v>64</v>
      </c>
      <c r="C1298" s="40" t="s">
        <v>65</v>
      </c>
      <c r="D1298" s="40" t="s">
        <v>62</v>
      </c>
      <c r="E1298" s="41" t="s">
        <v>34</v>
      </c>
      <c r="F1298" s="222">
        <v>300</v>
      </c>
      <c r="G1298" s="158">
        <f>1750+3360</f>
        <v>5110</v>
      </c>
      <c r="H1298" s="276" t="s">
        <v>63</v>
      </c>
      <c r="I1298" s="100"/>
      <c r="L1298" s="74"/>
    </row>
    <row r="1299" spans="1:12" ht="30" customHeight="1">
      <c r="A1299" s="37">
        <v>844</v>
      </c>
      <c r="B1299" s="71" t="s">
        <v>218</v>
      </c>
      <c r="C1299" s="40" t="s">
        <v>219</v>
      </c>
      <c r="D1299" s="40" t="s">
        <v>62</v>
      </c>
      <c r="E1299" s="41" t="s">
        <v>34</v>
      </c>
      <c r="F1299" s="222">
        <v>6</v>
      </c>
      <c r="G1299" s="158">
        <f>45.6+92</f>
        <v>137.6</v>
      </c>
      <c r="H1299" s="276" t="s">
        <v>63</v>
      </c>
      <c r="I1299" s="100"/>
      <c r="L1299" s="74"/>
    </row>
    <row r="1300" spans="1:12" ht="30" customHeight="1">
      <c r="A1300" s="37">
        <v>845</v>
      </c>
      <c r="B1300" s="38" t="s">
        <v>69</v>
      </c>
      <c r="C1300" s="40" t="s">
        <v>70</v>
      </c>
      <c r="D1300" s="40" t="s">
        <v>62</v>
      </c>
      <c r="E1300" s="41" t="s">
        <v>34</v>
      </c>
      <c r="F1300" s="222">
        <v>3</v>
      </c>
      <c r="G1300" s="158">
        <v>60</v>
      </c>
      <c r="H1300" s="276" t="s">
        <v>63</v>
      </c>
      <c r="I1300" s="100"/>
      <c r="L1300" s="74"/>
    </row>
    <row r="1301" spans="1:12" ht="30" customHeight="1">
      <c r="A1301" s="37">
        <v>846</v>
      </c>
      <c r="B1301" s="38" t="s">
        <v>71</v>
      </c>
      <c r="C1301" s="71" t="s">
        <v>72</v>
      </c>
      <c r="D1301" s="40" t="s">
        <v>62</v>
      </c>
      <c r="E1301" s="41" t="s">
        <v>34</v>
      </c>
      <c r="F1301" s="222">
        <v>26</v>
      </c>
      <c r="G1301" s="158">
        <f>170+244.8</f>
        <v>414.8</v>
      </c>
      <c r="H1301" s="276" t="s">
        <v>63</v>
      </c>
      <c r="I1301" s="100"/>
      <c r="L1301" s="74"/>
    </row>
    <row r="1302" spans="1:12" ht="45" customHeight="1">
      <c r="A1302" s="37">
        <v>847</v>
      </c>
      <c r="B1302" s="38" t="s">
        <v>73</v>
      </c>
      <c r="C1302" s="40" t="s">
        <v>74</v>
      </c>
      <c r="D1302" s="40" t="s">
        <v>62</v>
      </c>
      <c r="E1302" s="41" t="s">
        <v>34</v>
      </c>
      <c r="F1302" s="222">
        <v>16</v>
      </c>
      <c r="G1302" s="158">
        <f>122+253</f>
        <v>375</v>
      </c>
      <c r="H1302" s="276" t="s">
        <v>63</v>
      </c>
      <c r="I1302" s="100"/>
      <c r="L1302" s="74"/>
    </row>
    <row r="1303" spans="1:12" ht="30" customHeight="1">
      <c r="A1303" s="37">
        <v>848</v>
      </c>
      <c r="B1303" s="38" t="s">
        <v>75</v>
      </c>
      <c r="C1303" s="71" t="s">
        <v>76</v>
      </c>
      <c r="D1303" s="40" t="s">
        <v>62</v>
      </c>
      <c r="E1303" s="41" t="s">
        <v>77</v>
      </c>
      <c r="F1303" s="222">
        <v>35</v>
      </c>
      <c r="G1303" s="158">
        <f>727+1905</f>
        <v>2632</v>
      </c>
      <c r="H1303" s="276" t="s">
        <v>63</v>
      </c>
      <c r="I1303" s="100"/>
      <c r="L1303" s="74"/>
    </row>
    <row r="1304" spans="1:12" ht="30" customHeight="1">
      <c r="A1304" s="37">
        <v>849</v>
      </c>
      <c r="B1304" s="38" t="s">
        <v>78</v>
      </c>
      <c r="C1304" s="40" t="s">
        <v>79</v>
      </c>
      <c r="D1304" s="40" t="s">
        <v>62</v>
      </c>
      <c r="E1304" s="41" t="s">
        <v>34</v>
      </c>
      <c r="F1304" s="222">
        <v>17</v>
      </c>
      <c r="G1304" s="158">
        <f>1538+3694.8</f>
        <v>5232.8</v>
      </c>
      <c r="H1304" s="276" t="s">
        <v>63</v>
      </c>
      <c r="I1304" s="100"/>
      <c r="L1304" s="74"/>
    </row>
    <row r="1305" spans="1:12" ht="45" customHeight="1">
      <c r="A1305" s="37">
        <v>850</v>
      </c>
      <c r="B1305" s="38" t="s">
        <v>80</v>
      </c>
      <c r="C1305" s="40" t="s">
        <v>81</v>
      </c>
      <c r="D1305" s="40" t="s">
        <v>62</v>
      </c>
      <c r="E1305" s="41" t="s">
        <v>82</v>
      </c>
      <c r="F1305" s="222">
        <v>20</v>
      </c>
      <c r="G1305" s="158">
        <f>309.6+716.4</f>
        <v>1026</v>
      </c>
      <c r="H1305" s="276" t="s">
        <v>63</v>
      </c>
      <c r="I1305" s="100"/>
      <c r="L1305" s="74"/>
    </row>
    <row r="1306" spans="1:12" ht="30" customHeight="1">
      <c r="A1306" s="37">
        <v>851</v>
      </c>
      <c r="B1306" s="38" t="s">
        <v>83</v>
      </c>
      <c r="C1306" s="40" t="s">
        <v>72</v>
      </c>
      <c r="D1306" s="40" t="s">
        <v>62</v>
      </c>
      <c r="E1306" s="41" t="s">
        <v>34</v>
      </c>
      <c r="F1306" s="222">
        <v>25</v>
      </c>
      <c r="G1306" s="158">
        <f>325+340.5</f>
        <v>665.5</v>
      </c>
      <c r="H1306" s="276" t="s">
        <v>63</v>
      </c>
      <c r="I1306" s="100"/>
      <c r="L1306" s="74"/>
    </row>
    <row r="1307" spans="1:12" ht="30" customHeight="1">
      <c r="A1307" s="37">
        <v>852</v>
      </c>
      <c r="B1307" s="38" t="s">
        <v>220</v>
      </c>
      <c r="C1307" s="40" t="s">
        <v>221</v>
      </c>
      <c r="D1307" s="40" t="s">
        <v>62</v>
      </c>
      <c r="E1307" s="41" t="s">
        <v>34</v>
      </c>
      <c r="F1307" s="222">
        <v>20</v>
      </c>
      <c r="G1307" s="158">
        <f>268</f>
        <v>268</v>
      </c>
      <c r="H1307" s="276" t="s">
        <v>63</v>
      </c>
      <c r="I1307" s="100"/>
      <c r="L1307" s="74"/>
    </row>
    <row r="1308" spans="1:12" ht="45" customHeight="1">
      <c r="A1308" s="37">
        <v>853</v>
      </c>
      <c r="B1308" s="38" t="s">
        <v>84</v>
      </c>
      <c r="C1308" s="40" t="s">
        <v>85</v>
      </c>
      <c r="D1308" s="40" t="s">
        <v>62</v>
      </c>
      <c r="E1308" s="41" t="s">
        <v>34</v>
      </c>
      <c r="F1308" s="222">
        <v>20</v>
      </c>
      <c r="G1308" s="158">
        <f>1167+1182</f>
        <v>2349</v>
      </c>
      <c r="H1308" s="276" t="s">
        <v>63</v>
      </c>
      <c r="I1308" s="100"/>
      <c r="L1308" s="74"/>
    </row>
    <row r="1309" spans="1:12" ht="30" customHeight="1">
      <c r="A1309" s="37">
        <v>854</v>
      </c>
      <c r="B1309" s="38" t="s">
        <v>88</v>
      </c>
      <c r="C1309" s="40" t="s">
        <v>85</v>
      </c>
      <c r="D1309" s="40" t="s">
        <v>62</v>
      </c>
      <c r="E1309" s="41" t="s">
        <v>34</v>
      </c>
      <c r="F1309" s="222">
        <v>22</v>
      </c>
      <c r="G1309" s="158">
        <f>863.1+1869</f>
        <v>2732.1</v>
      </c>
      <c r="H1309" s="276" t="s">
        <v>63</v>
      </c>
      <c r="I1309" s="100"/>
      <c r="L1309" s="74"/>
    </row>
    <row r="1310" spans="1:12" ht="30" customHeight="1">
      <c r="A1310" s="37">
        <v>855</v>
      </c>
      <c r="B1310" s="38" t="s">
        <v>89</v>
      </c>
      <c r="C1310" s="40" t="s">
        <v>90</v>
      </c>
      <c r="D1310" s="40" t="s">
        <v>62</v>
      </c>
      <c r="E1310" s="41" t="s">
        <v>34</v>
      </c>
      <c r="F1310" s="222">
        <v>30</v>
      </c>
      <c r="G1310" s="158">
        <f>497+990</f>
        <v>1487</v>
      </c>
      <c r="H1310" s="276" t="s">
        <v>63</v>
      </c>
      <c r="I1310" s="100"/>
      <c r="L1310" s="74"/>
    </row>
    <row r="1311" spans="1:12" ht="30" customHeight="1">
      <c r="A1311" s="37">
        <v>856</v>
      </c>
      <c r="B1311" s="38" t="s">
        <v>91</v>
      </c>
      <c r="C1311" s="40" t="s">
        <v>92</v>
      </c>
      <c r="D1311" s="40" t="s">
        <v>62</v>
      </c>
      <c r="E1311" s="41" t="s">
        <v>34</v>
      </c>
      <c r="F1311" s="222">
        <v>55</v>
      </c>
      <c r="G1311" s="158">
        <f>2506.5+6688</f>
        <v>9194.5</v>
      </c>
      <c r="H1311" s="276" t="s">
        <v>63</v>
      </c>
      <c r="I1311" s="100"/>
      <c r="L1311" s="74"/>
    </row>
    <row r="1312" spans="1:12" ht="30" customHeight="1">
      <c r="A1312" s="37">
        <v>857</v>
      </c>
      <c r="B1312" s="38" t="s">
        <v>222</v>
      </c>
      <c r="C1312" s="40" t="s">
        <v>223</v>
      </c>
      <c r="D1312" s="40" t="s">
        <v>62</v>
      </c>
      <c r="E1312" s="41" t="s">
        <v>34</v>
      </c>
      <c r="F1312" s="222">
        <v>20</v>
      </c>
      <c r="G1312" s="158">
        <f>140+249.6</f>
        <v>389.6</v>
      </c>
      <c r="H1312" s="276" t="s">
        <v>63</v>
      </c>
      <c r="I1312" s="100"/>
      <c r="L1312" s="74"/>
    </row>
    <row r="1313" spans="1:12" ht="30" customHeight="1">
      <c r="A1313" s="37">
        <v>858</v>
      </c>
      <c r="B1313" s="38" t="s">
        <v>93</v>
      </c>
      <c r="C1313" s="40" t="s">
        <v>94</v>
      </c>
      <c r="D1313" s="40" t="s">
        <v>62</v>
      </c>
      <c r="E1313" s="41" t="s">
        <v>34</v>
      </c>
      <c r="F1313" s="222">
        <v>5</v>
      </c>
      <c r="G1313" s="158">
        <v>636.77</v>
      </c>
      <c r="H1313" s="276" t="s">
        <v>63</v>
      </c>
      <c r="I1313" s="100"/>
      <c r="L1313" s="74"/>
    </row>
    <row r="1314" spans="1:12" ht="30" customHeight="1">
      <c r="A1314" s="37">
        <v>859</v>
      </c>
      <c r="B1314" s="38" t="s">
        <v>224</v>
      </c>
      <c r="C1314" s="40" t="s">
        <v>225</v>
      </c>
      <c r="D1314" s="40" t="s">
        <v>62</v>
      </c>
      <c r="E1314" s="41" t="s">
        <v>34</v>
      </c>
      <c r="F1314" s="222">
        <v>10</v>
      </c>
      <c r="G1314" s="158">
        <v>124</v>
      </c>
      <c r="H1314" s="276" t="s">
        <v>63</v>
      </c>
      <c r="I1314" s="100"/>
      <c r="L1314" s="74"/>
    </row>
    <row r="1315" spans="1:12" ht="30" customHeight="1">
      <c r="A1315" s="37">
        <v>860</v>
      </c>
      <c r="B1315" s="40" t="s">
        <v>226</v>
      </c>
      <c r="C1315" s="40" t="s">
        <v>227</v>
      </c>
      <c r="D1315" s="40" t="s">
        <v>62</v>
      </c>
      <c r="E1315" s="41" t="s">
        <v>34</v>
      </c>
      <c r="F1315" s="222">
        <v>42</v>
      </c>
      <c r="G1315" s="158">
        <v>5825.4</v>
      </c>
      <c r="H1315" s="276" t="s">
        <v>63</v>
      </c>
      <c r="I1315" s="100"/>
      <c r="L1315" s="74"/>
    </row>
    <row r="1316" spans="1:12" ht="30" customHeight="1">
      <c r="A1316" s="37">
        <v>861</v>
      </c>
      <c r="B1316" s="40" t="s">
        <v>95</v>
      </c>
      <c r="C1316" s="40" t="s">
        <v>96</v>
      </c>
      <c r="D1316" s="40" t="s">
        <v>62</v>
      </c>
      <c r="E1316" s="41" t="s">
        <v>34</v>
      </c>
      <c r="F1316" s="222">
        <v>67</v>
      </c>
      <c r="G1316" s="158">
        <v>13965.6</v>
      </c>
      <c r="H1316" s="276" t="s">
        <v>63</v>
      </c>
      <c r="I1316" s="100"/>
      <c r="L1316" s="74"/>
    </row>
    <row r="1317" spans="1:12" ht="30" customHeight="1">
      <c r="A1317" s="37">
        <v>862</v>
      </c>
      <c r="B1317" s="40" t="s">
        <v>667</v>
      </c>
      <c r="C1317" s="40" t="s">
        <v>668</v>
      </c>
      <c r="D1317" s="40" t="s">
        <v>62</v>
      </c>
      <c r="E1317" s="41" t="s">
        <v>34</v>
      </c>
      <c r="F1317" s="222">
        <v>80</v>
      </c>
      <c r="G1317" s="158">
        <v>18400</v>
      </c>
      <c r="H1317" s="276" t="s">
        <v>63</v>
      </c>
      <c r="I1317" s="100"/>
      <c r="L1317" s="74"/>
    </row>
    <row r="1318" spans="1:12" ht="45" customHeight="1">
      <c r="A1318" s="37">
        <v>863</v>
      </c>
      <c r="B1318" s="54" t="s">
        <v>98</v>
      </c>
      <c r="C1318" s="40" t="s">
        <v>61</v>
      </c>
      <c r="D1318" s="40" t="s">
        <v>62</v>
      </c>
      <c r="E1318" s="41" t="s">
        <v>25</v>
      </c>
      <c r="F1318" s="222">
        <v>255</v>
      </c>
      <c r="G1318" s="158">
        <f>3225.75+1.22+135.4-1.65</f>
        <v>3360.72</v>
      </c>
      <c r="H1318" s="276" t="s">
        <v>63</v>
      </c>
      <c r="I1318" s="100"/>
      <c r="L1318" s="74"/>
    </row>
    <row r="1319" spans="1:12" ht="30" customHeight="1">
      <c r="A1319" s="37">
        <v>864</v>
      </c>
      <c r="B1319" s="40" t="s">
        <v>99</v>
      </c>
      <c r="C1319" s="40" t="s">
        <v>100</v>
      </c>
      <c r="D1319" s="40" t="s">
        <v>62</v>
      </c>
      <c r="E1319" s="41" t="s">
        <v>34</v>
      </c>
      <c r="F1319" s="222">
        <v>25</v>
      </c>
      <c r="G1319" s="158">
        <f>2962.08+4593</f>
        <v>7555.08</v>
      </c>
      <c r="H1319" s="276" t="s">
        <v>63</v>
      </c>
      <c r="I1319" s="100"/>
      <c r="L1319" s="74"/>
    </row>
    <row r="1320" spans="1:12" ht="30" customHeight="1">
      <c r="A1320" s="37">
        <v>865</v>
      </c>
      <c r="B1320" s="40" t="s">
        <v>101</v>
      </c>
      <c r="C1320" s="40" t="s">
        <v>102</v>
      </c>
      <c r="D1320" s="40" t="s">
        <v>62</v>
      </c>
      <c r="E1320" s="41" t="s">
        <v>34</v>
      </c>
      <c r="F1320" s="222">
        <v>3.8</v>
      </c>
      <c r="G1320" s="158">
        <v>2261</v>
      </c>
      <c r="H1320" s="276" t="s">
        <v>63</v>
      </c>
      <c r="I1320" s="100"/>
      <c r="L1320" s="74"/>
    </row>
    <row r="1321" spans="1:12" ht="30" customHeight="1">
      <c r="A1321" s="37">
        <v>866</v>
      </c>
      <c r="B1321" s="40" t="s">
        <v>228</v>
      </c>
      <c r="C1321" s="40" t="s">
        <v>229</v>
      </c>
      <c r="D1321" s="40" t="s">
        <v>62</v>
      </c>
      <c r="E1321" s="41" t="s">
        <v>34</v>
      </c>
      <c r="F1321" s="222">
        <v>70</v>
      </c>
      <c r="G1321" s="158">
        <f>495+2454</f>
        <v>2949</v>
      </c>
      <c r="H1321" s="276" t="s">
        <v>63</v>
      </c>
      <c r="I1321" s="100"/>
      <c r="L1321" s="74"/>
    </row>
    <row r="1322" spans="1:12" ht="30" customHeight="1">
      <c r="A1322" s="37">
        <v>867</v>
      </c>
      <c r="B1322" s="40" t="s">
        <v>103</v>
      </c>
      <c r="C1322" s="40" t="s">
        <v>104</v>
      </c>
      <c r="D1322" s="40" t="s">
        <v>62</v>
      </c>
      <c r="E1322" s="41" t="s">
        <v>25</v>
      </c>
      <c r="F1322" s="222">
        <v>750</v>
      </c>
      <c r="G1322" s="158">
        <v>3480</v>
      </c>
      <c r="H1322" s="276" t="s">
        <v>63</v>
      </c>
      <c r="I1322" s="100"/>
      <c r="L1322" s="74"/>
    </row>
    <row r="1323" spans="1:12" ht="30" customHeight="1">
      <c r="A1323" s="37">
        <v>868</v>
      </c>
      <c r="B1323" s="40" t="s">
        <v>230</v>
      </c>
      <c r="C1323" s="40" t="s">
        <v>231</v>
      </c>
      <c r="D1323" s="40" t="s">
        <v>62</v>
      </c>
      <c r="E1323" s="41" t="s">
        <v>77</v>
      </c>
      <c r="F1323" s="222">
        <v>20</v>
      </c>
      <c r="G1323" s="158">
        <f>1172</f>
        <v>1172</v>
      </c>
      <c r="H1323" s="276" t="s">
        <v>63</v>
      </c>
      <c r="I1323" s="100"/>
      <c r="L1323" s="74"/>
    </row>
    <row r="1324" spans="1:12" ht="30" customHeight="1">
      <c r="A1324" s="37">
        <v>869</v>
      </c>
      <c r="B1324" s="38" t="s">
        <v>232</v>
      </c>
      <c r="C1324" s="40" t="s">
        <v>85</v>
      </c>
      <c r="D1324" s="40" t="s">
        <v>62</v>
      </c>
      <c r="E1324" s="41" t="s">
        <v>34</v>
      </c>
      <c r="F1324" s="222">
        <v>20</v>
      </c>
      <c r="G1324" s="158">
        <f>1137.83+1182</f>
        <v>2319.83</v>
      </c>
      <c r="H1324" s="276" t="s">
        <v>63</v>
      </c>
      <c r="I1324" s="100"/>
      <c r="L1324" s="74"/>
    </row>
    <row r="1325" spans="1:12" ht="30" customHeight="1">
      <c r="A1325" s="37">
        <v>870</v>
      </c>
      <c r="B1325" s="38" t="s">
        <v>105</v>
      </c>
      <c r="C1325" s="40" t="s">
        <v>70</v>
      </c>
      <c r="D1325" s="40" t="s">
        <v>62</v>
      </c>
      <c r="E1325" s="41" t="s">
        <v>34</v>
      </c>
      <c r="F1325" s="222">
        <v>23</v>
      </c>
      <c r="G1325" s="158">
        <f>339+427.7</f>
        <v>766.7</v>
      </c>
      <c r="H1325" s="276" t="s">
        <v>63</v>
      </c>
      <c r="I1325" s="100"/>
      <c r="L1325" s="74"/>
    </row>
    <row r="1326" spans="1:12" ht="44.25" customHeight="1" hidden="1">
      <c r="A1326" s="37"/>
      <c r="B1326" s="178" t="s">
        <v>106</v>
      </c>
      <c r="C1326" s="179"/>
      <c r="D1326" s="40"/>
      <c r="E1326" s="41"/>
      <c r="F1326" s="41"/>
      <c r="G1326" s="139">
        <f>SUM(G1297:G1325)</f>
        <v>95120</v>
      </c>
      <c r="H1326" s="51"/>
      <c r="I1326" s="100"/>
      <c r="L1326" s="74"/>
    </row>
    <row r="1327" spans="1:12" ht="30" customHeight="1">
      <c r="A1327" s="269">
        <v>871</v>
      </c>
      <c r="B1327" s="270" t="s">
        <v>233</v>
      </c>
      <c r="C1327" s="137" t="s">
        <v>234</v>
      </c>
      <c r="D1327" s="137" t="s">
        <v>109</v>
      </c>
      <c r="E1327" s="138" t="s">
        <v>113</v>
      </c>
      <c r="F1327" s="138">
        <v>3</v>
      </c>
      <c r="G1327" s="139">
        <v>3780</v>
      </c>
      <c r="H1327" s="276" t="s">
        <v>63</v>
      </c>
      <c r="I1327" s="100"/>
      <c r="K1327" s="12">
        <f>1260</f>
        <v>1260</v>
      </c>
      <c r="L1327" s="74">
        <f aca="true" t="shared" si="15" ref="L1327:L1336">G1327-K1327</f>
        <v>2520</v>
      </c>
    </row>
    <row r="1328" spans="1:12" ht="30" customHeight="1">
      <c r="A1328" s="269">
        <v>872</v>
      </c>
      <c r="B1328" s="270" t="s">
        <v>235</v>
      </c>
      <c r="C1328" s="137" t="s">
        <v>116</v>
      </c>
      <c r="D1328" s="137" t="s">
        <v>109</v>
      </c>
      <c r="E1328" s="138" t="s">
        <v>113</v>
      </c>
      <c r="F1328" s="271" t="s">
        <v>117</v>
      </c>
      <c r="G1328" s="139">
        <f>462+30</f>
        <v>492</v>
      </c>
      <c r="H1328" s="276" t="s">
        <v>63</v>
      </c>
      <c r="I1328" s="100"/>
      <c r="K1328" s="12">
        <f>154</f>
        <v>154</v>
      </c>
      <c r="L1328" s="74">
        <f t="shared" si="15"/>
        <v>338</v>
      </c>
    </row>
    <row r="1329" spans="1:12" ht="45" customHeight="1">
      <c r="A1329" s="269">
        <v>873</v>
      </c>
      <c r="B1329" s="270" t="s">
        <v>236</v>
      </c>
      <c r="C1329" s="137" t="s">
        <v>119</v>
      </c>
      <c r="D1329" s="137" t="s">
        <v>109</v>
      </c>
      <c r="E1329" s="41" t="s">
        <v>120</v>
      </c>
      <c r="F1329" s="41" t="s">
        <v>121</v>
      </c>
      <c r="G1329" s="139">
        <v>3822.77</v>
      </c>
      <c r="H1329" s="276" t="s">
        <v>63</v>
      </c>
      <c r="I1329" s="100"/>
      <c r="K1329" s="12">
        <f>1177.07</f>
        <v>1177.07</v>
      </c>
      <c r="L1329" s="74">
        <f t="shared" si="15"/>
        <v>2645.7</v>
      </c>
    </row>
    <row r="1330" spans="1:13" ht="30" customHeight="1">
      <c r="A1330" s="269">
        <v>874</v>
      </c>
      <c r="B1330" s="270" t="s">
        <v>237</v>
      </c>
      <c r="C1330" s="137" t="s">
        <v>123</v>
      </c>
      <c r="D1330" s="137" t="s">
        <v>109</v>
      </c>
      <c r="E1330" s="138" t="s">
        <v>113</v>
      </c>
      <c r="F1330" s="138" t="s">
        <v>117</v>
      </c>
      <c r="G1330" s="139">
        <f>1413-30</f>
        <v>1383</v>
      </c>
      <c r="H1330" s="276" t="s">
        <v>63</v>
      </c>
      <c r="I1330" s="100"/>
      <c r="K1330" s="12">
        <v>470.96</v>
      </c>
      <c r="L1330" s="74">
        <f t="shared" si="15"/>
        <v>912.04</v>
      </c>
      <c r="M1330" s="12">
        <v>1412.88</v>
      </c>
    </row>
    <row r="1331" spans="1:12" ht="30" customHeight="1">
      <c r="A1331" s="269">
        <v>875</v>
      </c>
      <c r="B1331" s="270" t="s">
        <v>238</v>
      </c>
      <c r="C1331" s="137" t="s">
        <v>239</v>
      </c>
      <c r="D1331" s="137" t="s">
        <v>109</v>
      </c>
      <c r="E1331" s="138" t="s">
        <v>184</v>
      </c>
      <c r="F1331" s="138">
        <v>154</v>
      </c>
      <c r="G1331" s="139">
        <v>455.84</v>
      </c>
      <c r="H1331" s="276" t="s">
        <v>19</v>
      </c>
      <c r="I1331" s="100"/>
      <c r="L1331" s="74"/>
    </row>
    <row r="1332" spans="1:12" ht="30" customHeight="1">
      <c r="A1332" s="269">
        <v>876</v>
      </c>
      <c r="B1332" s="270" t="s">
        <v>240</v>
      </c>
      <c r="C1332" s="137" t="s">
        <v>239</v>
      </c>
      <c r="D1332" s="137" t="s">
        <v>109</v>
      </c>
      <c r="E1332" s="138" t="s">
        <v>184</v>
      </c>
      <c r="F1332" s="138">
        <v>784.3</v>
      </c>
      <c r="G1332" s="139">
        <v>2023.49</v>
      </c>
      <c r="H1332" s="276" t="s">
        <v>19</v>
      </c>
      <c r="I1332" s="100"/>
      <c r="L1332" s="74"/>
    </row>
    <row r="1333" spans="1:12" ht="45" customHeight="1">
      <c r="A1333" s="269">
        <v>877</v>
      </c>
      <c r="B1333" s="270" t="s">
        <v>241</v>
      </c>
      <c r="C1333" s="137" t="s">
        <v>242</v>
      </c>
      <c r="D1333" s="137" t="s">
        <v>109</v>
      </c>
      <c r="E1333" s="138" t="s">
        <v>25</v>
      </c>
      <c r="F1333" s="138">
        <v>2</v>
      </c>
      <c r="G1333" s="139">
        <v>366.9</v>
      </c>
      <c r="H1333" s="276" t="s">
        <v>63</v>
      </c>
      <c r="I1333" s="100"/>
      <c r="L1333" s="74"/>
    </row>
    <row r="1334" spans="1:12" ht="45" customHeight="1">
      <c r="A1334" s="269">
        <v>878</v>
      </c>
      <c r="B1334" s="38" t="s">
        <v>128</v>
      </c>
      <c r="C1334" s="88" t="s">
        <v>129</v>
      </c>
      <c r="D1334" s="40" t="s">
        <v>109</v>
      </c>
      <c r="E1334" s="41" t="s">
        <v>25</v>
      </c>
      <c r="F1334" s="41">
        <v>2</v>
      </c>
      <c r="G1334" s="163">
        <v>57205</v>
      </c>
      <c r="H1334" s="155" t="s">
        <v>63</v>
      </c>
      <c r="I1334" s="100"/>
      <c r="L1334" s="74"/>
    </row>
    <row r="1335" spans="1:12" ht="30" customHeight="1">
      <c r="A1335" s="269">
        <v>879</v>
      </c>
      <c r="B1335" s="270" t="s">
        <v>130</v>
      </c>
      <c r="C1335" s="137" t="s">
        <v>131</v>
      </c>
      <c r="D1335" s="137" t="s">
        <v>109</v>
      </c>
      <c r="E1335" s="138" t="s">
        <v>25</v>
      </c>
      <c r="F1335" s="138">
        <v>5</v>
      </c>
      <c r="G1335" s="139">
        <v>1400</v>
      </c>
      <c r="H1335" s="276" t="s">
        <v>19</v>
      </c>
      <c r="I1335" s="100"/>
      <c r="K1335" s="12">
        <v>1064</v>
      </c>
      <c r="L1335" s="74">
        <f>G1335-K1335</f>
        <v>336</v>
      </c>
    </row>
    <row r="1336" spans="1:12" ht="30" customHeight="1">
      <c r="A1336" s="269">
        <v>880</v>
      </c>
      <c r="B1336" s="270" t="s">
        <v>130</v>
      </c>
      <c r="C1336" s="137" t="s">
        <v>131</v>
      </c>
      <c r="D1336" s="137" t="s">
        <v>109</v>
      </c>
      <c r="E1336" s="138" t="s">
        <v>25</v>
      </c>
      <c r="F1336" s="138">
        <v>10</v>
      </c>
      <c r="G1336" s="139">
        <v>2800</v>
      </c>
      <c r="H1336" s="276" t="s">
        <v>132</v>
      </c>
      <c r="I1336" s="100"/>
      <c r="K1336" s="12">
        <v>1064</v>
      </c>
      <c r="L1336" s="74">
        <f t="shared" si="15"/>
        <v>1736</v>
      </c>
    </row>
    <row r="1337" spans="1:12" ht="32.25" customHeight="1" hidden="1">
      <c r="A1337" s="269">
        <v>909</v>
      </c>
      <c r="B1337" s="284" t="s">
        <v>136</v>
      </c>
      <c r="C1337" s="285"/>
      <c r="D1337" s="40"/>
      <c r="E1337" s="41"/>
      <c r="F1337" s="41"/>
      <c r="G1337" s="139">
        <f>SUM(G1327:G1336)</f>
        <v>73729</v>
      </c>
      <c r="H1337" s="51"/>
      <c r="I1337" s="100"/>
      <c r="K1337" s="74">
        <f>SUM(K1327:K1336)</f>
        <v>5190.03</v>
      </c>
      <c r="L1337" s="74">
        <f>SUM(L1327:L1336)</f>
        <v>8487.74</v>
      </c>
    </row>
    <row r="1338" spans="1:11" ht="30" customHeight="1">
      <c r="A1338" s="269">
        <v>881</v>
      </c>
      <c r="B1338" s="38" t="s">
        <v>243</v>
      </c>
      <c r="C1338" s="52" t="s">
        <v>138</v>
      </c>
      <c r="D1338" s="40" t="s">
        <v>139</v>
      </c>
      <c r="E1338" s="41" t="s">
        <v>140</v>
      </c>
      <c r="F1338" s="53">
        <f>G1338/2878.55</f>
        <v>102.23897448368102</v>
      </c>
      <c r="G1338" s="42">
        <v>294300</v>
      </c>
      <c r="H1338" s="137" t="s">
        <v>63</v>
      </c>
      <c r="I1338" s="100"/>
      <c r="K1338" s="12">
        <f>89955</f>
        <v>89955</v>
      </c>
    </row>
    <row r="1339" spans="1:9" ht="21" customHeight="1" hidden="1">
      <c r="A1339" s="269">
        <v>911</v>
      </c>
      <c r="B1339" s="45" t="s">
        <v>141</v>
      </c>
      <c r="C1339" s="46"/>
      <c r="D1339" s="40"/>
      <c r="E1339" s="41"/>
      <c r="F1339" s="41"/>
      <c r="G1339" s="42">
        <f>SUM(G1338:G1338)</f>
        <v>294300</v>
      </c>
      <c r="H1339" s="51"/>
      <c r="I1339" s="100"/>
    </row>
    <row r="1340" spans="1:11" ht="30" customHeight="1">
      <c r="A1340" s="269">
        <v>882</v>
      </c>
      <c r="B1340" s="38" t="s">
        <v>244</v>
      </c>
      <c r="C1340" s="54" t="s">
        <v>245</v>
      </c>
      <c r="D1340" s="40" t="s">
        <v>246</v>
      </c>
      <c r="E1340" s="41" t="s">
        <v>110</v>
      </c>
      <c r="F1340" s="56">
        <f>G1340/12.72</f>
        <v>47.09119496855346</v>
      </c>
      <c r="G1340" s="42">
        <v>599</v>
      </c>
      <c r="H1340" s="137" t="s">
        <v>63</v>
      </c>
      <c r="I1340" s="100"/>
      <c r="K1340" s="74"/>
    </row>
    <row r="1341" spans="1:9" ht="21" customHeight="1" hidden="1">
      <c r="A1341" s="269">
        <v>913</v>
      </c>
      <c r="B1341" s="45" t="s">
        <v>247</v>
      </c>
      <c r="C1341" s="46"/>
      <c r="D1341" s="40"/>
      <c r="E1341" s="41"/>
      <c r="F1341" s="41"/>
      <c r="G1341" s="42">
        <f>G1340</f>
        <v>599</v>
      </c>
      <c r="H1341" s="51"/>
      <c r="I1341" s="100"/>
    </row>
    <row r="1342" spans="1:13" ht="30" customHeight="1">
      <c r="A1342" s="37">
        <v>883</v>
      </c>
      <c r="B1342" s="38" t="s">
        <v>142</v>
      </c>
      <c r="C1342" s="54" t="s">
        <v>143</v>
      </c>
      <c r="D1342" s="40" t="s">
        <v>144</v>
      </c>
      <c r="E1342" s="41" t="s">
        <v>145</v>
      </c>
      <c r="F1342" s="56">
        <f>G1342/4.143</f>
        <v>5252.715423606082</v>
      </c>
      <c r="G1342" s="42">
        <v>21762</v>
      </c>
      <c r="H1342" s="137" t="s">
        <v>63</v>
      </c>
      <c r="I1342" s="100"/>
      <c r="K1342" s="12">
        <f>6715.8+2039.89</f>
        <v>8755.69</v>
      </c>
      <c r="L1342" s="240">
        <f>F1342-J1342</f>
        <v>5252.715423606082</v>
      </c>
      <c r="M1342" s="74">
        <f>G1342-K1342</f>
        <v>13006.31</v>
      </c>
    </row>
    <row r="1343" spans="1:9" ht="21" customHeight="1" hidden="1">
      <c r="A1343" s="37"/>
      <c r="B1343" s="45" t="s">
        <v>146</v>
      </c>
      <c r="C1343" s="46"/>
      <c r="D1343" s="40"/>
      <c r="E1343" s="41"/>
      <c r="F1343" s="41"/>
      <c r="G1343" s="42">
        <f>G1342</f>
        <v>21762</v>
      </c>
      <c r="H1343" s="51"/>
      <c r="I1343" s="100"/>
    </row>
    <row r="1344" spans="1:9" ht="32.25" customHeight="1" hidden="1">
      <c r="A1344" s="102"/>
      <c r="B1344" s="244"/>
      <c r="C1344" s="244"/>
      <c r="D1344" s="245"/>
      <c r="E1344" s="245"/>
      <c r="F1344" s="245"/>
      <c r="G1344" s="104"/>
      <c r="H1344" s="246"/>
      <c r="I1344" s="223"/>
    </row>
    <row r="1345" spans="1:9" ht="32.25" customHeight="1" hidden="1">
      <c r="A1345" s="19"/>
      <c r="B1345" s="208" t="s">
        <v>151</v>
      </c>
      <c r="C1345" s="167"/>
      <c r="D1345" s="168"/>
      <c r="E1345" s="207"/>
      <c r="F1345" s="170"/>
      <c r="G1345" s="110"/>
      <c r="H1345" s="171"/>
      <c r="I1345" s="223"/>
    </row>
    <row r="1346" spans="1:9" ht="32.25" customHeight="1" hidden="1">
      <c r="A1346" s="19"/>
      <c r="B1346" s="167" t="s">
        <v>693</v>
      </c>
      <c r="C1346" s="167"/>
      <c r="D1346" s="225" t="s">
        <v>153</v>
      </c>
      <c r="E1346" s="226"/>
      <c r="F1346" s="170"/>
      <c r="G1346" s="110"/>
      <c r="H1346" s="171"/>
      <c r="I1346" s="223"/>
    </row>
    <row r="1347" spans="1:9" ht="32.25" customHeight="1" hidden="1">
      <c r="A1347" s="19"/>
      <c r="B1347" s="167"/>
      <c r="C1347" s="167"/>
      <c r="D1347" s="227" t="s">
        <v>694</v>
      </c>
      <c r="E1347" s="228" t="s">
        <v>692</v>
      </c>
      <c r="F1347" s="170"/>
      <c r="G1347" s="110"/>
      <c r="H1347" s="171"/>
      <c r="I1347" s="223"/>
    </row>
    <row r="1348" spans="1:9" ht="32.25" customHeight="1" hidden="1">
      <c r="A1348" s="19"/>
      <c r="B1348" s="167" t="s">
        <v>156</v>
      </c>
      <c r="C1348" s="167"/>
      <c r="D1348" s="225" t="s">
        <v>157</v>
      </c>
      <c r="E1348" s="226"/>
      <c r="F1348" s="170"/>
      <c r="G1348" s="110"/>
      <c r="H1348" s="171"/>
      <c r="I1348" s="223"/>
    </row>
    <row r="1349" spans="1:9" ht="32.25" customHeight="1" hidden="1">
      <c r="A1349" s="19"/>
      <c r="B1349" s="167" t="s">
        <v>695</v>
      </c>
      <c r="C1349" s="167"/>
      <c r="D1349" s="168"/>
      <c r="E1349" s="207"/>
      <c r="F1349" s="170"/>
      <c r="G1349" s="110"/>
      <c r="H1349" s="171"/>
      <c r="I1349" s="223"/>
    </row>
    <row r="1350" spans="1:9" ht="32.25" customHeight="1" hidden="1">
      <c r="A1350" s="19"/>
      <c r="B1350" s="229" t="s">
        <v>159</v>
      </c>
      <c r="C1350" s="167"/>
      <c r="D1350" s="225" t="s">
        <v>160</v>
      </c>
      <c r="E1350" s="226"/>
      <c r="F1350" s="170"/>
      <c r="G1350" s="110"/>
      <c r="H1350" s="171"/>
      <c r="I1350" s="223"/>
    </row>
    <row r="1351" spans="1:9" ht="32.25" customHeight="1" hidden="1">
      <c r="A1351" s="19"/>
      <c r="B1351" s="230" t="s">
        <v>161</v>
      </c>
      <c r="C1351" s="167"/>
      <c r="D1351" s="168"/>
      <c r="E1351" s="207"/>
      <c r="F1351" s="170"/>
      <c r="G1351" s="110"/>
      <c r="H1351" s="171"/>
      <c r="I1351" s="223"/>
    </row>
    <row r="1352" spans="1:9" ht="32.25" customHeight="1" hidden="1">
      <c r="A1352" s="19"/>
      <c r="B1352" s="169"/>
      <c r="C1352" s="169"/>
      <c r="D1352" s="170"/>
      <c r="E1352" s="170"/>
      <c r="F1352" s="170"/>
      <c r="G1352" s="110"/>
      <c r="H1352" s="171"/>
      <c r="I1352" s="223"/>
    </row>
    <row r="1353" spans="1:9" ht="32.25" customHeight="1" hidden="1">
      <c r="A1353" s="19"/>
      <c r="B1353" s="19"/>
      <c r="C1353" s="190"/>
      <c r="D1353" s="187"/>
      <c r="E1353" s="187"/>
      <c r="F1353" s="209" t="s">
        <v>1</v>
      </c>
      <c r="G1353" s="209"/>
      <c r="H1353" s="8"/>
      <c r="I1353" s="223"/>
    </row>
    <row r="1354" spans="1:9" ht="32.25" customHeight="1" hidden="1">
      <c r="A1354" s="19"/>
      <c r="B1354" s="190" t="s">
        <v>687</v>
      </c>
      <c r="C1354" s="8"/>
      <c r="D1354" s="187"/>
      <c r="E1354" s="187"/>
      <c r="F1354" s="209"/>
      <c r="G1354" s="209"/>
      <c r="H1354" s="8"/>
      <c r="I1354" s="223"/>
    </row>
    <row r="1355" spans="1:9" ht="32.25" customHeight="1" hidden="1">
      <c r="A1355" s="19"/>
      <c r="B1355" s="167"/>
      <c r="C1355" s="167"/>
      <c r="D1355" s="168"/>
      <c r="E1355" s="207"/>
      <c r="F1355" s="207"/>
      <c r="G1355" s="110"/>
      <c r="H1355" s="8"/>
      <c r="I1355" s="223"/>
    </row>
    <row r="1356" spans="1:9" ht="32.25" customHeight="1" hidden="1">
      <c r="A1356" s="191" t="s">
        <v>2</v>
      </c>
      <c r="B1356" s="191"/>
      <c r="C1356" s="191"/>
      <c r="D1356" s="191"/>
      <c r="E1356" s="191"/>
      <c r="F1356" s="191"/>
      <c r="G1356" s="191"/>
      <c r="H1356" s="191"/>
      <c r="I1356" s="191"/>
    </row>
    <row r="1357" spans="1:9" ht="32.25" customHeight="1" hidden="1">
      <c r="A1357" s="191"/>
      <c r="B1357" s="191"/>
      <c r="C1357" s="191"/>
      <c r="D1357" s="191"/>
      <c r="E1357" s="191"/>
      <c r="F1357" s="191"/>
      <c r="G1357" s="191"/>
      <c r="H1357" s="191"/>
      <c r="I1357" s="191"/>
    </row>
    <row r="1358" spans="1:9" s="7" customFormat="1" ht="29.25" customHeight="1">
      <c r="A1358" s="35" t="s">
        <v>3</v>
      </c>
      <c r="B1358" s="173"/>
      <c r="C1358" s="173"/>
      <c r="D1358" s="173"/>
      <c r="E1358" s="173"/>
      <c r="F1358" s="173"/>
      <c r="G1358" s="173"/>
      <c r="H1358" s="173"/>
      <c r="I1358" s="173"/>
    </row>
    <row r="1359" spans="3:9" ht="12" customHeight="1" hidden="1">
      <c r="C1359" s="145"/>
      <c r="D1359" s="60" t="s">
        <v>4</v>
      </c>
      <c r="E1359" s="145"/>
      <c r="F1359" s="145"/>
      <c r="G1359" s="62"/>
      <c r="H1359" s="61"/>
      <c r="I1359" s="61"/>
    </row>
    <row r="1360" ht="15.75" customHeight="1" hidden="1"/>
    <row r="1361" spans="1:11" ht="15.75" customHeight="1" hidden="1">
      <c r="A1361" s="83" t="s">
        <v>5</v>
      </c>
      <c r="B1361" s="27" t="s">
        <v>6</v>
      </c>
      <c r="C1361" s="28" t="s">
        <v>7</v>
      </c>
      <c r="D1361" s="63" t="s">
        <v>8</v>
      </c>
      <c r="E1361" s="28" t="s">
        <v>9</v>
      </c>
      <c r="F1361" s="28" t="s">
        <v>10</v>
      </c>
      <c r="G1361" s="64" t="s">
        <v>11</v>
      </c>
      <c r="H1361" s="63" t="s">
        <v>12</v>
      </c>
      <c r="I1361" s="63" t="s">
        <v>13</v>
      </c>
      <c r="J1361" s="71"/>
      <c r="K1361" s="71"/>
    </row>
    <row r="1362" spans="1:9" ht="31.5" customHeight="1" hidden="1">
      <c r="A1362" s="84"/>
      <c r="B1362" s="30"/>
      <c r="C1362" s="31"/>
      <c r="D1362" s="65"/>
      <c r="E1362" s="31"/>
      <c r="F1362" s="31"/>
      <c r="G1362" s="66"/>
      <c r="H1362" s="65"/>
      <c r="I1362" s="65"/>
    </row>
    <row r="1363" spans="1:9" ht="63" customHeight="1" hidden="1">
      <c r="A1363" s="85"/>
      <c r="B1363" s="33"/>
      <c r="C1363" s="34"/>
      <c r="D1363" s="67"/>
      <c r="E1363" s="34"/>
      <c r="F1363" s="34"/>
      <c r="G1363" s="68"/>
      <c r="H1363" s="67"/>
      <c r="I1363" s="67"/>
    </row>
    <row r="1364" spans="1:14" ht="20.25" customHeight="1" hidden="1">
      <c r="A1364" s="32">
        <v>1</v>
      </c>
      <c r="B1364" s="33">
        <v>2</v>
      </c>
      <c r="C1364" s="34">
        <v>3</v>
      </c>
      <c r="D1364" s="67">
        <v>4</v>
      </c>
      <c r="E1364" s="34">
        <v>5</v>
      </c>
      <c r="F1364" s="34">
        <v>6</v>
      </c>
      <c r="G1364" s="68">
        <v>7</v>
      </c>
      <c r="H1364" s="67">
        <v>8</v>
      </c>
      <c r="I1364" s="65">
        <v>9</v>
      </c>
      <c r="N1364" s="12" t="s">
        <v>14</v>
      </c>
    </row>
    <row r="1365" spans="1:15" ht="29.25" customHeight="1">
      <c r="A1365" s="37">
        <v>884</v>
      </c>
      <c r="B1365" s="38" t="s">
        <v>15</v>
      </c>
      <c r="C1365" s="39" t="s">
        <v>16</v>
      </c>
      <c r="D1365" s="40" t="s">
        <v>17</v>
      </c>
      <c r="E1365" s="41" t="s">
        <v>18</v>
      </c>
      <c r="F1365" s="41">
        <v>5</v>
      </c>
      <c r="G1365" s="42">
        <v>1050</v>
      </c>
      <c r="H1365" s="155" t="s">
        <v>19</v>
      </c>
      <c r="I1365" s="286" t="s">
        <v>253</v>
      </c>
      <c r="L1365" s="74">
        <f>G1365-K1365</f>
        <v>1050</v>
      </c>
      <c r="N1365" s="12">
        <v>3</v>
      </c>
      <c r="O1365" s="12">
        <v>780</v>
      </c>
    </row>
    <row r="1366" spans="1:12" ht="60" customHeight="1">
      <c r="A1366" s="37">
        <v>885</v>
      </c>
      <c r="B1366" s="38" t="s">
        <v>20</v>
      </c>
      <c r="C1366" s="43" t="s">
        <v>21</v>
      </c>
      <c r="D1366" s="40" t="s">
        <v>17</v>
      </c>
      <c r="E1366" s="41" t="s">
        <v>22</v>
      </c>
      <c r="F1366" s="41">
        <v>3</v>
      </c>
      <c r="G1366" s="42">
        <v>1111.32</v>
      </c>
      <c r="H1366" s="155" t="s">
        <v>19</v>
      </c>
      <c r="I1366" s="287"/>
      <c r="L1366" s="74"/>
    </row>
    <row r="1367" spans="1:12" ht="30" customHeight="1">
      <c r="A1367" s="37">
        <v>886</v>
      </c>
      <c r="B1367" s="38" t="s">
        <v>23</v>
      </c>
      <c r="C1367" s="43" t="s">
        <v>24</v>
      </c>
      <c r="D1367" s="40" t="s">
        <v>17</v>
      </c>
      <c r="E1367" s="41" t="s">
        <v>25</v>
      </c>
      <c r="F1367" s="41">
        <v>1</v>
      </c>
      <c r="G1367" s="42">
        <v>174.11</v>
      </c>
      <c r="H1367" s="155" t="s">
        <v>19</v>
      </c>
      <c r="I1367" s="287"/>
      <c r="L1367" s="74"/>
    </row>
    <row r="1368" spans="1:12" ht="29.25" customHeight="1">
      <c r="A1368" s="37">
        <v>887</v>
      </c>
      <c r="B1368" s="38" t="s">
        <v>26</v>
      </c>
      <c r="C1368" s="43" t="s">
        <v>27</v>
      </c>
      <c r="D1368" s="40" t="s">
        <v>17</v>
      </c>
      <c r="E1368" s="41" t="s">
        <v>25</v>
      </c>
      <c r="F1368" s="41">
        <v>12</v>
      </c>
      <c r="G1368" s="42">
        <v>712.2</v>
      </c>
      <c r="H1368" s="155" t="s">
        <v>19</v>
      </c>
      <c r="I1368" s="287"/>
      <c r="L1368" s="74"/>
    </row>
    <row r="1369" spans="1:12" ht="30" customHeight="1">
      <c r="A1369" s="37">
        <v>888</v>
      </c>
      <c r="B1369" s="38" t="s">
        <v>28</v>
      </c>
      <c r="C1369" s="43" t="s">
        <v>29</v>
      </c>
      <c r="D1369" s="40" t="s">
        <v>17</v>
      </c>
      <c r="E1369" s="41" t="s">
        <v>25</v>
      </c>
      <c r="F1369" s="41">
        <v>2</v>
      </c>
      <c r="G1369" s="42">
        <v>118</v>
      </c>
      <c r="H1369" s="155" t="s">
        <v>19</v>
      </c>
      <c r="I1369" s="287"/>
      <c r="L1369" s="74"/>
    </row>
    <row r="1370" spans="1:12" ht="29.25" customHeight="1">
      <c r="A1370" s="37">
        <v>889</v>
      </c>
      <c r="B1370" s="38" t="s">
        <v>30</v>
      </c>
      <c r="C1370" s="43" t="s">
        <v>31</v>
      </c>
      <c r="D1370" s="40" t="s">
        <v>17</v>
      </c>
      <c r="E1370" s="41" t="s">
        <v>22</v>
      </c>
      <c r="F1370" s="41">
        <v>3</v>
      </c>
      <c r="G1370" s="42">
        <v>78.78</v>
      </c>
      <c r="H1370" s="155" t="s">
        <v>19</v>
      </c>
      <c r="I1370" s="287"/>
      <c r="L1370" s="74"/>
    </row>
    <row r="1371" spans="1:12" ht="29.25" customHeight="1">
      <c r="A1371" s="37">
        <v>890</v>
      </c>
      <c r="B1371" s="38" t="s">
        <v>32</v>
      </c>
      <c r="C1371" s="43" t="s">
        <v>33</v>
      </c>
      <c r="D1371" s="40" t="s">
        <v>17</v>
      </c>
      <c r="E1371" s="41" t="s">
        <v>34</v>
      </c>
      <c r="F1371" s="41">
        <v>40</v>
      </c>
      <c r="G1371" s="42">
        <v>4800</v>
      </c>
      <c r="H1371" s="155" t="s">
        <v>19</v>
      </c>
      <c r="I1371" s="287"/>
      <c r="L1371" s="74"/>
    </row>
    <row r="1372" spans="1:12" ht="29.25" customHeight="1">
      <c r="A1372" s="37">
        <v>891</v>
      </c>
      <c r="B1372" s="38" t="s">
        <v>35</v>
      </c>
      <c r="C1372" s="43" t="s">
        <v>36</v>
      </c>
      <c r="D1372" s="40" t="s">
        <v>17</v>
      </c>
      <c r="E1372" s="41" t="s">
        <v>25</v>
      </c>
      <c r="F1372" s="41">
        <v>2</v>
      </c>
      <c r="G1372" s="42">
        <v>1086.64</v>
      </c>
      <c r="H1372" s="155" t="s">
        <v>19</v>
      </c>
      <c r="I1372" s="287"/>
      <c r="L1372" s="74"/>
    </row>
    <row r="1373" spans="1:12" ht="45" customHeight="1">
      <c r="A1373" s="37">
        <v>892</v>
      </c>
      <c r="B1373" s="38" t="s">
        <v>37</v>
      </c>
      <c r="C1373" s="43" t="s">
        <v>38</v>
      </c>
      <c r="D1373" s="40" t="s">
        <v>17</v>
      </c>
      <c r="E1373" s="41" t="s">
        <v>25</v>
      </c>
      <c r="F1373" s="41">
        <v>1</v>
      </c>
      <c r="G1373" s="42">
        <v>1000.34</v>
      </c>
      <c r="H1373" s="155" t="s">
        <v>19</v>
      </c>
      <c r="I1373" s="287"/>
      <c r="L1373" s="74"/>
    </row>
    <row r="1374" spans="1:12" ht="29.25" customHeight="1">
      <c r="A1374" s="37">
        <v>893</v>
      </c>
      <c r="B1374" s="38" t="s">
        <v>39</v>
      </c>
      <c r="C1374" s="43" t="s">
        <v>40</v>
      </c>
      <c r="D1374" s="40" t="s">
        <v>17</v>
      </c>
      <c r="E1374" s="41" t="s">
        <v>25</v>
      </c>
      <c r="F1374" s="41">
        <v>1</v>
      </c>
      <c r="G1374" s="42">
        <v>209.45</v>
      </c>
      <c r="H1374" s="155" t="s">
        <v>19</v>
      </c>
      <c r="I1374" s="287"/>
      <c r="L1374" s="74"/>
    </row>
    <row r="1375" spans="1:12" ht="29.25" customHeight="1">
      <c r="A1375" s="37">
        <v>894</v>
      </c>
      <c r="B1375" s="38" t="s">
        <v>41</v>
      </c>
      <c r="C1375" s="43" t="s">
        <v>42</v>
      </c>
      <c r="D1375" s="40" t="s">
        <v>17</v>
      </c>
      <c r="E1375" s="41" t="s">
        <v>25</v>
      </c>
      <c r="F1375" s="41">
        <v>1</v>
      </c>
      <c r="G1375" s="42">
        <v>152</v>
      </c>
      <c r="H1375" s="155" t="s">
        <v>19</v>
      </c>
      <c r="I1375" s="287"/>
      <c r="L1375" s="74"/>
    </row>
    <row r="1376" spans="1:12" ht="29.25" customHeight="1">
      <c r="A1376" s="37">
        <v>895</v>
      </c>
      <c r="B1376" s="38" t="s">
        <v>43</v>
      </c>
      <c r="C1376" s="43" t="s">
        <v>44</v>
      </c>
      <c r="D1376" s="40" t="s">
        <v>17</v>
      </c>
      <c r="E1376" s="41" t="s">
        <v>25</v>
      </c>
      <c r="F1376" s="41">
        <v>1</v>
      </c>
      <c r="G1376" s="42">
        <v>813.61</v>
      </c>
      <c r="H1376" s="155" t="s">
        <v>19</v>
      </c>
      <c r="I1376" s="287"/>
      <c r="L1376" s="74"/>
    </row>
    <row r="1377" spans="1:12" ht="29.25" customHeight="1">
      <c r="A1377" s="37">
        <v>896</v>
      </c>
      <c r="B1377" s="38" t="s">
        <v>45</v>
      </c>
      <c r="C1377" s="43" t="s">
        <v>44</v>
      </c>
      <c r="D1377" s="40" t="s">
        <v>17</v>
      </c>
      <c r="E1377" s="41" t="s">
        <v>25</v>
      </c>
      <c r="F1377" s="41">
        <v>5</v>
      </c>
      <c r="G1377" s="42">
        <v>100</v>
      </c>
      <c r="H1377" s="155" t="s">
        <v>19</v>
      </c>
      <c r="I1377" s="287"/>
      <c r="L1377" s="74"/>
    </row>
    <row r="1378" spans="1:12" ht="60" customHeight="1">
      <c r="A1378" s="37">
        <v>897</v>
      </c>
      <c r="B1378" s="38" t="s">
        <v>46</v>
      </c>
      <c r="C1378" s="43" t="s">
        <v>47</v>
      </c>
      <c r="D1378" s="40" t="s">
        <v>17</v>
      </c>
      <c r="E1378" s="41" t="s">
        <v>48</v>
      </c>
      <c r="F1378" s="41">
        <v>5</v>
      </c>
      <c r="G1378" s="42">
        <v>220</v>
      </c>
      <c r="H1378" s="155" t="s">
        <v>19</v>
      </c>
      <c r="I1378" s="287"/>
      <c r="L1378" s="74"/>
    </row>
    <row r="1379" spans="1:12" ht="29.25" customHeight="1">
      <c r="A1379" s="37">
        <v>898</v>
      </c>
      <c r="B1379" s="38" t="s">
        <v>49</v>
      </c>
      <c r="C1379" s="43" t="s">
        <v>24</v>
      </c>
      <c r="D1379" s="40" t="s">
        <v>17</v>
      </c>
      <c r="E1379" s="41" t="s">
        <v>25</v>
      </c>
      <c r="F1379" s="41">
        <v>1</v>
      </c>
      <c r="G1379" s="42">
        <v>180</v>
      </c>
      <c r="H1379" s="155" t="s">
        <v>19</v>
      </c>
      <c r="I1379" s="287"/>
      <c r="L1379" s="74"/>
    </row>
    <row r="1380" spans="1:12" ht="29.25" customHeight="1">
      <c r="A1380" s="37">
        <v>899</v>
      </c>
      <c r="B1380" s="38" t="s">
        <v>50</v>
      </c>
      <c r="C1380" s="43" t="s">
        <v>24</v>
      </c>
      <c r="D1380" s="40" t="s">
        <v>17</v>
      </c>
      <c r="E1380" s="41" t="s">
        <v>25</v>
      </c>
      <c r="F1380" s="41">
        <v>3</v>
      </c>
      <c r="G1380" s="42">
        <v>211.11</v>
      </c>
      <c r="H1380" s="155" t="s">
        <v>19</v>
      </c>
      <c r="I1380" s="287"/>
      <c r="L1380" s="74"/>
    </row>
    <row r="1381" spans="1:12" ht="30" customHeight="1">
      <c r="A1381" s="37">
        <v>900</v>
      </c>
      <c r="B1381" s="38" t="s">
        <v>51</v>
      </c>
      <c r="C1381" s="43" t="s">
        <v>52</v>
      </c>
      <c r="D1381" s="40" t="s">
        <v>17</v>
      </c>
      <c r="E1381" s="41" t="s">
        <v>25</v>
      </c>
      <c r="F1381" s="41">
        <v>40</v>
      </c>
      <c r="G1381" s="42">
        <v>796.4</v>
      </c>
      <c r="H1381" s="155" t="s">
        <v>19</v>
      </c>
      <c r="I1381" s="287"/>
      <c r="L1381" s="74">
        <f>G1381-K1381</f>
        <v>796.4</v>
      </c>
    </row>
    <row r="1382" spans="1:12" ht="30" customHeight="1">
      <c r="A1382" s="37">
        <v>901</v>
      </c>
      <c r="B1382" s="38" t="s">
        <v>53</v>
      </c>
      <c r="C1382" s="43" t="s">
        <v>54</v>
      </c>
      <c r="D1382" s="40" t="s">
        <v>17</v>
      </c>
      <c r="E1382" s="41" t="s">
        <v>25</v>
      </c>
      <c r="F1382" s="41">
        <v>3</v>
      </c>
      <c r="G1382" s="42">
        <v>272.04</v>
      </c>
      <c r="H1382" s="155" t="s">
        <v>19</v>
      </c>
      <c r="I1382" s="287"/>
      <c r="L1382" s="74"/>
    </row>
    <row r="1383" spans="1:12" ht="45" customHeight="1">
      <c r="A1383" s="37">
        <v>902</v>
      </c>
      <c r="B1383" s="38" t="s">
        <v>55</v>
      </c>
      <c r="C1383" s="43" t="s">
        <v>56</v>
      </c>
      <c r="D1383" s="40" t="s">
        <v>17</v>
      </c>
      <c r="E1383" s="41" t="s">
        <v>25</v>
      </c>
      <c r="F1383" s="41">
        <v>1</v>
      </c>
      <c r="G1383" s="42">
        <v>6443.8</v>
      </c>
      <c r="H1383" s="155" t="s">
        <v>19</v>
      </c>
      <c r="I1383" s="287"/>
      <c r="L1383" s="74"/>
    </row>
    <row r="1384" spans="1:12" ht="30" customHeight="1">
      <c r="A1384" s="37">
        <v>903</v>
      </c>
      <c r="B1384" s="38" t="s">
        <v>57</v>
      </c>
      <c r="C1384" s="40" t="s">
        <v>58</v>
      </c>
      <c r="D1384" s="40" t="s">
        <v>17</v>
      </c>
      <c r="E1384" s="41" t="s">
        <v>25</v>
      </c>
      <c r="F1384" s="41">
        <v>1</v>
      </c>
      <c r="G1384" s="42">
        <v>2500.2</v>
      </c>
      <c r="H1384" s="155" t="s">
        <v>19</v>
      </c>
      <c r="I1384" s="287"/>
      <c r="L1384" s="74"/>
    </row>
    <row r="1385" spans="1:14" ht="32.25" customHeight="1" hidden="1">
      <c r="A1385" s="37"/>
      <c r="B1385" s="45" t="s">
        <v>59</v>
      </c>
      <c r="C1385" s="46"/>
      <c r="D1385" s="40"/>
      <c r="E1385" s="41"/>
      <c r="F1385" s="41"/>
      <c r="G1385" s="42">
        <f>SUM(G1365:G1384)</f>
        <v>22030.000000000004</v>
      </c>
      <c r="H1385" s="51"/>
      <c r="I1385" s="287"/>
      <c r="K1385" s="74">
        <f>SUM(K1365:K1384)</f>
        <v>0</v>
      </c>
      <c r="L1385" s="74">
        <f>SUM(L1365:L1384)</f>
        <v>1846.4</v>
      </c>
      <c r="M1385" s="12">
        <v>8676.17</v>
      </c>
      <c r="N1385" s="74">
        <f>M1385-K1385</f>
        <v>8676.17</v>
      </c>
    </row>
    <row r="1386" spans="1:14" ht="45" customHeight="1">
      <c r="A1386" s="37">
        <v>904</v>
      </c>
      <c r="B1386" s="38" t="s">
        <v>60</v>
      </c>
      <c r="C1386" s="40" t="s">
        <v>61</v>
      </c>
      <c r="D1386" s="40" t="s">
        <v>62</v>
      </c>
      <c r="E1386" s="41" t="s">
        <v>34</v>
      </c>
      <c r="F1386" s="69">
        <v>3</v>
      </c>
      <c r="G1386" s="42">
        <v>130.8</v>
      </c>
      <c r="H1386" s="40" t="s">
        <v>63</v>
      </c>
      <c r="I1386" s="287"/>
      <c r="K1386" s="74"/>
      <c r="L1386" s="74"/>
      <c r="N1386" s="74"/>
    </row>
    <row r="1387" spans="1:14" ht="30" customHeight="1">
      <c r="A1387" s="37">
        <v>905</v>
      </c>
      <c r="B1387" s="38" t="s">
        <v>64</v>
      </c>
      <c r="C1387" s="40" t="s">
        <v>65</v>
      </c>
      <c r="D1387" s="40" t="s">
        <v>62</v>
      </c>
      <c r="E1387" s="41" t="s">
        <v>34</v>
      </c>
      <c r="F1387" s="69">
        <v>180</v>
      </c>
      <c r="G1387" s="42">
        <f>1400+1680</f>
        <v>3080</v>
      </c>
      <c r="H1387" s="40" t="s">
        <v>63</v>
      </c>
      <c r="I1387" s="287"/>
      <c r="K1387" s="74"/>
      <c r="L1387" s="74"/>
      <c r="N1387" s="74"/>
    </row>
    <row r="1388" spans="1:14" ht="45" customHeight="1">
      <c r="A1388" s="37">
        <v>906</v>
      </c>
      <c r="B1388" s="38" t="s">
        <v>66</v>
      </c>
      <c r="C1388" s="43" t="s">
        <v>67</v>
      </c>
      <c r="D1388" s="40" t="s">
        <v>62</v>
      </c>
      <c r="E1388" s="41" t="s">
        <v>68</v>
      </c>
      <c r="F1388" s="69">
        <v>88</v>
      </c>
      <c r="G1388" s="42">
        <v>654.72</v>
      </c>
      <c r="H1388" s="40" t="s">
        <v>63</v>
      </c>
      <c r="I1388" s="287"/>
      <c r="K1388" s="74"/>
      <c r="L1388" s="74"/>
      <c r="N1388" s="74"/>
    </row>
    <row r="1389" spans="1:14" ht="30" customHeight="1">
      <c r="A1389" s="37">
        <v>907</v>
      </c>
      <c r="B1389" s="38" t="s">
        <v>69</v>
      </c>
      <c r="C1389" s="40" t="s">
        <v>70</v>
      </c>
      <c r="D1389" s="40" t="s">
        <v>62</v>
      </c>
      <c r="E1389" s="41" t="s">
        <v>34</v>
      </c>
      <c r="F1389" s="69">
        <v>1</v>
      </c>
      <c r="G1389" s="42">
        <v>20</v>
      </c>
      <c r="H1389" s="40" t="s">
        <v>63</v>
      </c>
      <c r="I1389" s="287"/>
      <c r="K1389" s="74"/>
      <c r="L1389" s="74"/>
      <c r="N1389" s="74"/>
    </row>
    <row r="1390" spans="1:14" ht="30" customHeight="1">
      <c r="A1390" s="37">
        <v>908</v>
      </c>
      <c r="B1390" s="38" t="s">
        <v>71</v>
      </c>
      <c r="C1390" s="71" t="s">
        <v>72</v>
      </c>
      <c r="D1390" s="40" t="s">
        <v>62</v>
      </c>
      <c r="E1390" s="41" t="s">
        <v>34</v>
      </c>
      <c r="F1390" s="69">
        <v>15</v>
      </c>
      <c r="G1390" s="42">
        <f>85+153</f>
        <v>238</v>
      </c>
      <c r="H1390" s="40" t="s">
        <v>63</v>
      </c>
      <c r="I1390" s="287"/>
      <c r="K1390" s="74"/>
      <c r="L1390" s="74"/>
      <c r="N1390" s="74"/>
    </row>
    <row r="1391" spans="1:14" ht="45" customHeight="1">
      <c r="A1391" s="37">
        <v>909</v>
      </c>
      <c r="B1391" s="38" t="s">
        <v>73</v>
      </c>
      <c r="C1391" s="40" t="s">
        <v>74</v>
      </c>
      <c r="D1391" s="40" t="s">
        <v>62</v>
      </c>
      <c r="E1391" s="41" t="s">
        <v>34</v>
      </c>
      <c r="F1391" s="69">
        <v>15</v>
      </c>
      <c r="G1391" s="42">
        <f>122+230</f>
        <v>352</v>
      </c>
      <c r="H1391" s="40" t="s">
        <v>63</v>
      </c>
      <c r="I1391" s="287"/>
      <c r="K1391" s="74"/>
      <c r="L1391" s="74"/>
      <c r="N1391" s="74"/>
    </row>
    <row r="1392" spans="1:14" ht="30" customHeight="1">
      <c r="A1392" s="37">
        <v>910</v>
      </c>
      <c r="B1392" s="38" t="s">
        <v>75</v>
      </c>
      <c r="C1392" s="71" t="s">
        <v>76</v>
      </c>
      <c r="D1392" s="40" t="s">
        <v>62</v>
      </c>
      <c r="E1392" s="41" t="s">
        <v>77</v>
      </c>
      <c r="F1392" s="69">
        <v>9</v>
      </c>
      <c r="G1392" s="42">
        <f>290.8+381</f>
        <v>671.8</v>
      </c>
      <c r="H1392" s="40" t="s">
        <v>63</v>
      </c>
      <c r="I1392" s="287"/>
      <c r="K1392" s="74"/>
      <c r="L1392" s="74"/>
      <c r="N1392" s="74"/>
    </row>
    <row r="1393" spans="1:14" ht="30" customHeight="1">
      <c r="A1393" s="37">
        <v>911</v>
      </c>
      <c r="B1393" s="38" t="s">
        <v>78</v>
      </c>
      <c r="C1393" s="40" t="s">
        <v>79</v>
      </c>
      <c r="D1393" s="40" t="s">
        <v>62</v>
      </c>
      <c r="E1393" s="41" t="s">
        <v>34</v>
      </c>
      <c r="F1393" s="69">
        <v>7</v>
      </c>
      <c r="G1393" s="42">
        <f>922.8+1231.6</f>
        <v>2154.3999999999996</v>
      </c>
      <c r="H1393" s="40" t="s">
        <v>63</v>
      </c>
      <c r="I1393" s="287"/>
      <c r="K1393" s="74"/>
      <c r="L1393" s="74"/>
      <c r="N1393" s="74"/>
    </row>
    <row r="1394" spans="1:14" ht="45" customHeight="1">
      <c r="A1394" s="37">
        <v>912</v>
      </c>
      <c r="B1394" s="38" t="s">
        <v>80</v>
      </c>
      <c r="C1394" s="40" t="s">
        <v>81</v>
      </c>
      <c r="D1394" s="40" t="s">
        <v>62</v>
      </c>
      <c r="E1394" s="41" t="s">
        <v>82</v>
      </c>
      <c r="F1394" s="69">
        <f>1.8+11.7</f>
        <v>13.5</v>
      </c>
      <c r="G1394" s="42">
        <f>77.4+465.66</f>
        <v>543.0600000000001</v>
      </c>
      <c r="H1394" s="40" t="s">
        <v>63</v>
      </c>
      <c r="I1394" s="287"/>
      <c r="K1394" s="74"/>
      <c r="L1394" s="74"/>
      <c r="N1394" s="74"/>
    </row>
    <row r="1395" spans="1:14" ht="30" customHeight="1">
      <c r="A1395" s="37">
        <v>913</v>
      </c>
      <c r="B1395" s="38" t="s">
        <v>83</v>
      </c>
      <c r="C1395" s="40" t="s">
        <v>72</v>
      </c>
      <c r="D1395" s="40" t="s">
        <v>62</v>
      </c>
      <c r="E1395" s="41" t="s">
        <v>34</v>
      </c>
      <c r="F1395" s="69">
        <v>21</v>
      </c>
      <c r="G1395" s="42">
        <f>227.5+317.8</f>
        <v>545.3</v>
      </c>
      <c r="H1395" s="40" t="s">
        <v>63</v>
      </c>
      <c r="I1395" s="287"/>
      <c r="K1395" s="74"/>
      <c r="L1395" s="74"/>
      <c r="N1395" s="74"/>
    </row>
    <row r="1396" spans="1:14" ht="45" customHeight="1">
      <c r="A1396" s="37">
        <v>914</v>
      </c>
      <c r="B1396" s="38" t="s">
        <v>84</v>
      </c>
      <c r="C1396" s="40" t="s">
        <v>85</v>
      </c>
      <c r="D1396" s="40" t="s">
        <v>62</v>
      </c>
      <c r="E1396" s="41" t="s">
        <v>34</v>
      </c>
      <c r="F1396" s="69">
        <v>14.3</v>
      </c>
      <c r="G1396" s="42">
        <v>1668.81</v>
      </c>
      <c r="H1396" s="40" t="s">
        <v>63</v>
      </c>
      <c r="I1396" s="287"/>
      <c r="K1396" s="74"/>
      <c r="L1396" s="74"/>
      <c r="N1396" s="74"/>
    </row>
    <row r="1397" spans="1:14" ht="30" customHeight="1">
      <c r="A1397" s="37">
        <v>915</v>
      </c>
      <c r="B1397" s="38" t="s">
        <v>665</v>
      </c>
      <c r="C1397" s="40" t="s">
        <v>666</v>
      </c>
      <c r="D1397" s="40" t="s">
        <v>62</v>
      </c>
      <c r="E1397" s="41" t="s">
        <v>34</v>
      </c>
      <c r="F1397" s="69">
        <v>15</v>
      </c>
      <c r="G1397" s="42">
        <v>1917</v>
      </c>
      <c r="H1397" s="40" t="s">
        <v>63</v>
      </c>
      <c r="I1397" s="287"/>
      <c r="K1397" s="74"/>
      <c r="L1397" s="74"/>
      <c r="N1397" s="74"/>
    </row>
    <row r="1398" spans="1:14" ht="30" customHeight="1">
      <c r="A1398" s="37">
        <v>916</v>
      </c>
      <c r="B1398" s="38" t="s">
        <v>88</v>
      </c>
      <c r="C1398" s="40" t="s">
        <v>85</v>
      </c>
      <c r="D1398" s="40" t="s">
        <v>62</v>
      </c>
      <c r="E1398" s="41" t="s">
        <v>34</v>
      </c>
      <c r="F1398" s="69">
        <v>8</v>
      </c>
      <c r="G1398" s="42">
        <f>369.9+623</f>
        <v>992.9</v>
      </c>
      <c r="H1398" s="40" t="s">
        <v>63</v>
      </c>
      <c r="I1398" s="287"/>
      <c r="K1398" s="74"/>
      <c r="L1398" s="74"/>
      <c r="N1398" s="74"/>
    </row>
    <row r="1399" spans="1:14" ht="30" customHeight="1">
      <c r="A1399" s="37">
        <v>917</v>
      </c>
      <c r="B1399" s="38" t="s">
        <v>89</v>
      </c>
      <c r="C1399" s="40" t="s">
        <v>90</v>
      </c>
      <c r="D1399" s="40" t="s">
        <v>62</v>
      </c>
      <c r="E1399" s="41" t="s">
        <v>34</v>
      </c>
      <c r="F1399" s="69">
        <v>18</v>
      </c>
      <c r="G1399" s="42">
        <f>298.2+594</f>
        <v>892.2</v>
      </c>
      <c r="H1399" s="40" t="s">
        <v>63</v>
      </c>
      <c r="I1399" s="287"/>
      <c r="K1399" s="74"/>
      <c r="L1399" s="74"/>
      <c r="N1399" s="74"/>
    </row>
    <row r="1400" spans="1:14" ht="30" customHeight="1">
      <c r="A1400" s="37">
        <v>918</v>
      </c>
      <c r="B1400" s="38" t="s">
        <v>91</v>
      </c>
      <c r="C1400" s="40" t="s">
        <v>92</v>
      </c>
      <c r="D1400" s="40" t="s">
        <v>62</v>
      </c>
      <c r="E1400" s="41" t="s">
        <v>34</v>
      </c>
      <c r="F1400" s="69">
        <v>26</v>
      </c>
      <c r="G1400" s="42">
        <f>1838.1+2508</f>
        <v>4346.1</v>
      </c>
      <c r="H1400" s="40" t="s">
        <v>63</v>
      </c>
      <c r="I1400" s="287"/>
      <c r="K1400" s="74"/>
      <c r="L1400" s="74"/>
      <c r="N1400" s="74"/>
    </row>
    <row r="1401" spans="1:14" ht="30" customHeight="1">
      <c r="A1401" s="37">
        <v>919</v>
      </c>
      <c r="B1401" s="38" t="s">
        <v>93</v>
      </c>
      <c r="C1401" s="40" t="s">
        <v>94</v>
      </c>
      <c r="D1401" s="40" t="s">
        <v>62</v>
      </c>
      <c r="E1401" s="41" t="s">
        <v>34</v>
      </c>
      <c r="F1401" s="69">
        <f>1.52+9.88</f>
        <v>11.4</v>
      </c>
      <c r="G1401" s="42">
        <f>195.93+1284.4</f>
        <v>1480.3300000000002</v>
      </c>
      <c r="H1401" s="40" t="s">
        <v>63</v>
      </c>
      <c r="I1401" s="287"/>
      <c r="K1401" s="74"/>
      <c r="L1401" s="74"/>
      <c r="N1401" s="74"/>
    </row>
    <row r="1402" spans="1:14" ht="30" customHeight="1">
      <c r="A1402" s="37">
        <v>920</v>
      </c>
      <c r="B1402" s="40" t="s">
        <v>95</v>
      </c>
      <c r="C1402" s="40" t="s">
        <v>96</v>
      </c>
      <c r="D1402" s="40" t="s">
        <v>62</v>
      </c>
      <c r="E1402" s="41" t="s">
        <v>34</v>
      </c>
      <c r="F1402" s="69">
        <v>15</v>
      </c>
      <c r="G1402" s="42">
        <f>929.5+2116</f>
        <v>3045.5</v>
      </c>
      <c r="H1402" s="40" t="s">
        <v>63</v>
      </c>
      <c r="I1402" s="287"/>
      <c r="K1402" s="74"/>
      <c r="L1402" s="74"/>
      <c r="N1402" s="74"/>
    </row>
    <row r="1403" spans="1:14" ht="30" customHeight="1">
      <c r="A1403" s="37">
        <v>921</v>
      </c>
      <c r="B1403" s="40" t="s">
        <v>667</v>
      </c>
      <c r="C1403" s="40" t="s">
        <v>668</v>
      </c>
      <c r="D1403" s="40" t="s">
        <v>62</v>
      </c>
      <c r="E1403" s="41" t="s">
        <v>34</v>
      </c>
      <c r="F1403" s="69">
        <f>39</f>
        <v>39</v>
      </c>
      <c r="G1403" s="42">
        <f>3464.5+5060</f>
        <v>8524.5</v>
      </c>
      <c r="H1403" s="40" t="s">
        <v>63</v>
      </c>
      <c r="I1403" s="287"/>
      <c r="K1403" s="74"/>
      <c r="L1403" s="74"/>
      <c r="N1403" s="74"/>
    </row>
    <row r="1404" spans="1:14" ht="45" customHeight="1">
      <c r="A1404" s="37">
        <v>922</v>
      </c>
      <c r="B1404" s="54" t="s">
        <v>98</v>
      </c>
      <c r="C1404" s="40" t="s">
        <v>61</v>
      </c>
      <c r="D1404" s="40" t="s">
        <v>62</v>
      </c>
      <c r="E1404" s="41" t="s">
        <v>25</v>
      </c>
      <c r="F1404" s="69">
        <v>218</v>
      </c>
      <c r="G1404" s="42">
        <f>2757.7+121.96</f>
        <v>2879.66</v>
      </c>
      <c r="H1404" s="40" t="s">
        <v>63</v>
      </c>
      <c r="I1404" s="287"/>
      <c r="K1404" s="74"/>
      <c r="L1404" s="74"/>
      <c r="N1404" s="74"/>
    </row>
    <row r="1405" spans="1:14" ht="30" customHeight="1">
      <c r="A1405" s="37">
        <v>923</v>
      </c>
      <c r="B1405" s="40" t="s">
        <v>99</v>
      </c>
      <c r="C1405" s="40" t="s">
        <v>100</v>
      </c>
      <c r="D1405" s="40" t="s">
        <v>62</v>
      </c>
      <c r="E1405" s="41" t="s">
        <v>34</v>
      </c>
      <c r="F1405" s="69">
        <f>11</f>
        <v>11</v>
      </c>
      <c r="G1405" s="42">
        <f>592.42+2755.8</f>
        <v>3348.2200000000003</v>
      </c>
      <c r="H1405" s="40" t="s">
        <v>63</v>
      </c>
      <c r="I1405" s="287"/>
      <c r="K1405" s="74"/>
      <c r="L1405" s="74"/>
      <c r="N1405" s="74"/>
    </row>
    <row r="1406" spans="1:14" ht="30" customHeight="1">
      <c r="A1406" s="37">
        <v>924</v>
      </c>
      <c r="B1406" s="40" t="s">
        <v>101</v>
      </c>
      <c r="C1406" s="40" t="s">
        <v>102</v>
      </c>
      <c r="D1406" s="40" t="s">
        <v>62</v>
      </c>
      <c r="E1406" s="41" t="s">
        <v>34</v>
      </c>
      <c r="F1406" s="69">
        <v>1.5</v>
      </c>
      <c r="G1406" s="42">
        <v>892.5</v>
      </c>
      <c r="H1406" s="40" t="s">
        <v>63</v>
      </c>
      <c r="I1406" s="287"/>
      <c r="K1406" s="74"/>
      <c r="L1406" s="74"/>
      <c r="N1406" s="74"/>
    </row>
    <row r="1407" spans="1:14" ht="30" customHeight="1">
      <c r="A1407" s="37">
        <v>925</v>
      </c>
      <c r="B1407" s="40" t="s">
        <v>103</v>
      </c>
      <c r="C1407" s="40" t="s">
        <v>104</v>
      </c>
      <c r="D1407" s="40" t="s">
        <v>62</v>
      </c>
      <c r="E1407" s="41" t="s">
        <v>25</v>
      </c>
      <c r="F1407" s="69">
        <v>600</v>
      </c>
      <c r="G1407" s="42">
        <v>2784</v>
      </c>
      <c r="H1407" s="40" t="s">
        <v>63</v>
      </c>
      <c r="I1407" s="287"/>
      <c r="K1407" s="74"/>
      <c r="L1407" s="74"/>
      <c r="N1407" s="74"/>
    </row>
    <row r="1408" spans="1:14" ht="30" customHeight="1">
      <c r="A1408" s="37">
        <v>926</v>
      </c>
      <c r="B1408" s="38" t="s">
        <v>105</v>
      </c>
      <c r="C1408" s="40" t="s">
        <v>70</v>
      </c>
      <c r="D1408" s="40" t="s">
        <v>62</v>
      </c>
      <c r="E1408" s="41" t="s">
        <v>34</v>
      </c>
      <c r="F1408" s="69">
        <v>18</v>
      </c>
      <c r="G1408" s="42">
        <f>203.4+394.8</f>
        <v>598.2</v>
      </c>
      <c r="H1408" s="40" t="s">
        <v>63</v>
      </c>
      <c r="I1408" s="287"/>
      <c r="K1408" s="74"/>
      <c r="L1408" s="74"/>
      <c r="N1408" s="74"/>
    </row>
    <row r="1409" spans="1:14" ht="32.25" customHeight="1" hidden="1">
      <c r="A1409" s="37">
        <v>956</v>
      </c>
      <c r="B1409" s="178" t="s">
        <v>106</v>
      </c>
      <c r="C1409" s="179"/>
      <c r="D1409" s="40"/>
      <c r="E1409" s="41"/>
      <c r="F1409" s="41"/>
      <c r="G1409" s="42">
        <f>SUM(G1386:G1408)</f>
        <v>41760</v>
      </c>
      <c r="H1409" s="51"/>
      <c r="I1409" s="287"/>
      <c r="K1409" s="74"/>
      <c r="L1409" s="74"/>
      <c r="N1409" s="74"/>
    </row>
    <row r="1410" spans="1:12" ht="30" customHeight="1">
      <c r="A1410" s="37">
        <v>927</v>
      </c>
      <c r="B1410" s="38" t="s">
        <v>107</v>
      </c>
      <c r="C1410" s="40" t="s">
        <v>108</v>
      </c>
      <c r="D1410" s="40" t="s">
        <v>109</v>
      </c>
      <c r="E1410" s="41" t="s">
        <v>110</v>
      </c>
      <c r="F1410" s="41">
        <v>6</v>
      </c>
      <c r="G1410" s="42">
        <v>566.4</v>
      </c>
      <c r="H1410" s="40" t="s">
        <v>63</v>
      </c>
      <c r="I1410" s="287"/>
      <c r="L1410" s="74">
        <f>G1410-K1410</f>
        <v>566.4</v>
      </c>
    </row>
    <row r="1411" spans="1:12" ht="30" customHeight="1">
      <c r="A1411" s="37">
        <v>928</v>
      </c>
      <c r="B1411" s="38" t="s">
        <v>111</v>
      </c>
      <c r="C1411" s="40" t="s">
        <v>112</v>
      </c>
      <c r="D1411" s="40" t="s">
        <v>109</v>
      </c>
      <c r="E1411" s="41" t="s">
        <v>113</v>
      </c>
      <c r="F1411" s="41" t="s">
        <v>114</v>
      </c>
      <c r="G1411" s="42">
        <v>1080</v>
      </c>
      <c r="H1411" s="40" t="s">
        <v>63</v>
      </c>
      <c r="I1411" s="287"/>
      <c r="K1411" s="12">
        <f>200</f>
        <v>200</v>
      </c>
      <c r="L1411" s="74">
        <f aca="true" t="shared" si="16" ref="L1411:L1419">G1411-K1411</f>
        <v>880</v>
      </c>
    </row>
    <row r="1412" spans="1:12" ht="30" customHeight="1">
      <c r="A1412" s="37">
        <v>929</v>
      </c>
      <c r="B1412" s="38" t="s">
        <v>115</v>
      </c>
      <c r="C1412" s="40" t="s">
        <v>116</v>
      </c>
      <c r="D1412" s="40" t="s">
        <v>109</v>
      </c>
      <c r="E1412" s="41" t="s">
        <v>113</v>
      </c>
      <c r="F1412" s="50" t="s">
        <v>117</v>
      </c>
      <c r="G1412" s="42">
        <v>1053</v>
      </c>
      <c r="H1412" s="40" t="s">
        <v>63</v>
      </c>
      <c r="I1412" s="287"/>
      <c r="K1412" s="12">
        <f>350</f>
        <v>350</v>
      </c>
      <c r="L1412" s="74">
        <f t="shared" si="16"/>
        <v>703</v>
      </c>
    </row>
    <row r="1413" spans="1:12" ht="45" customHeight="1">
      <c r="A1413" s="37">
        <v>930</v>
      </c>
      <c r="B1413" s="38" t="s">
        <v>118</v>
      </c>
      <c r="C1413" s="40" t="s">
        <v>119</v>
      </c>
      <c r="D1413" s="40" t="s">
        <v>109</v>
      </c>
      <c r="E1413" s="41" t="s">
        <v>120</v>
      </c>
      <c r="F1413" s="41" t="s">
        <v>121</v>
      </c>
      <c r="G1413" s="42">
        <v>3000.59</v>
      </c>
      <c r="H1413" s="40" t="s">
        <v>63</v>
      </c>
      <c r="I1413" s="287"/>
      <c r="K1413" s="12">
        <f>934.4</f>
        <v>934.4</v>
      </c>
      <c r="L1413" s="74">
        <f t="shared" si="16"/>
        <v>2066.19</v>
      </c>
    </row>
    <row r="1414" spans="1:12" ht="30" customHeight="1">
      <c r="A1414" s="37">
        <v>931</v>
      </c>
      <c r="B1414" s="38" t="s">
        <v>122</v>
      </c>
      <c r="C1414" s="40" t="s">
        <v>123</v>
      </c>
      <c r="D1414" s="40" t="s">
        <v>109</v>
      </c>
      <c r="E1414" s="41" t="s">
        <v>113</v>
      </c>
      <c r="F1414" s="41" t="s">
        <v>117</v>
      </c>
      <c r="G1414" s="42">
        <v>1413</v>
      </c>
      <c r="H1414" s="40" t="s">
        <v>63</v>
      </c>
      <c r="I1414" s="287"/>
      <c r="K1414" s="12">
        <f>470.96</f>
        <v>470.96</v>
      </c>
      <c r="L1414" s="74">
        <f t="shared" si="16"/>
        <v>942.04</v>
      </c>
    </row>
    <row r="1415" spans="1:12" s="6" customFormat="1" ht="29.25" customHeight="1">
      <c r="A1415" s="37">
        <v>932</v>
      </c>
      <c r="B1415" s="160" t="s">
        <v>124</v>
      </c>
      <c r="C1415" s="161" t="s">
        <v>125</v>
      </c>
      <c r="D1415" s="133" t="s">
        <v>109</v>
      </c>
      <c r="E1415" s="41" t="s">
        <v>126</v>
      </c>
      <c r="F1415" s="41">
        <v>49.8</v>
      </c>
      <c r="G1415" s="42">
        <v>147.41</v>
      </c>
      <c r="H1415" s="40" t="s">
        <v>19</v>
      </c>
      <c r="I1415" s="287"/>
      <c r="L1415" s="166">
        <f t="shared" si="16"/>
        <v>147.41</v>
      </c>
    </row>
    <row r="1416" spans="1:12" s="6" customFormat="1" ht="29.25" customHeight="1">
      <c r="A1416" s="37">
        <v>933</v>
      </c>
      <c r="B1416" s="160" t="s">
        <v>127</v>
      </c>
      <c r="C1416" s="161" t="s">
        <v>125</v>
      </c>
      <c r="D1416" s="133" t="s">
        <v>109</v>
      </c>
      <c r="E1416" s="41" t="s">
        <v>126</v>
      </c>
      <c r="F1416" s="41">
        <v>1007.14</v>
      </c>
      <c r="G1416" s="42">
        <v>2598.42</v>
      </c>
      <c r="H1416" s="40" t="s">
        <v>19</v>
      </c>
      <c r="I1416" s="287"/>
      <c r="L1416" s="166">
        <f t="shared" si="16"/>
        <v>2598.42</v>
      </c>
    </row>
    <row r="1417" spans="1:12" ht="45" customHeight="1">
      <c r="A1417" s="37">
        <v>934</v>
      </c>
      <c r="B1417" s="38" t="s">
        <v>128</v>
      </c>
      <c r="C1417" s="88" t="s">
        <v>129</v>
      </c>
      <c r="D1417" s="40" t="s">
        <v>109</v>
      </c>
      <c r="E1417" s="41" t="s">
        <v>25</v>
      </c>
      <c r="F1417" s="41">
        <v>2</v>
      </c>
      <c r="G1417" s="163">
        <v>166610</v>
      </c>
      <c r="H1417" s="155" t="s">
        <v>63</v>
      </c>
      <c r="I1417" s="287"/>
      <c r="L1417" s="74"/>
    </row>
    <row r="1418" spans="1:12" ht="30" customHeight="1">
      <c r="A1418" s="37">
        <v>935</v>
      </c>
      <c r="B1418" s="288" t="s">
        <v>130</v>
      </c>
      <c r="C1418" s="40" t="s">
        <v>131</v>
      </c>
      <c r="D1418" s="40" t="s">
        <v>109</v>
      </c>
      <c r="E1418" s="41" t="s">
        <v>25</v>
      </c>
      <c r="F1418" s="41">
        <v>6</v>
      </c>
      <c r="G1418" s="42">
        <v>1512</v>
      </c>
      <c r="H1418" s="40" t="s">
        <v>132</v>
      </c>
      <c r="I1418" s="287"/>
      <c r="L1418" s="74">
        <f>G1418-K1418</f>
        <v>1512</v>
      </c>
    </row>
    <row r="1419" spans="1:12" ht="60" customHeight="1">
      <c r="A1419" s="37">
        <v>936</v>
      </c>
      <c r="B1419" s="38" t="s">
        <v>133</v>
      </c>
      <c r="C1419" s="40" t="s">
        <v>134</v>
      </c>
      <c r="D1419" s="40" t="s">
        <v>109</v>
      </c>
      <c r="E1419" s="41" t="s">
        <v>113</v>
      </c>
      <c r="F1419" s="41">
        <v>1</v>
      </c>
      <c r="G1419" s="42">
        <v>608.17</v>
      </c>
      <c r="H1419" s="40" t="s">
        <v>63</v>
      </c>
      <c r="I1419" s="287"/>
      <c r="L1419" s="74">
        <f t="shared" si="16"/>
        <v>608.17</v>
      </c>
    </row>
    <row r="1420" spans="1:12" ht="60" customHeight="1">
      <c r="A1420" s="37">
        <v>937</v>
      </c>
      <c r="B1420" s="289" t="s">
        <v>135</v>
      </c>
      <c r="C1420" s="40" t="s">
        <v>134</v>
      </c>
      <c r="D1420" s="40" t="s">
        <v>109</v>
      </c>
      <c r="E1420" s="162" t="s">
        <v>25</v>
      </c>
      <c r="F1420" s="282">
        <v>1</v>
      </c>
      <c r="G1420" s="283">
        <v>7593.01</v>
      </c>
      <c r="H1420" s="40" t="s">
        <v>63</v>
      </c>
      <c r="I1420" s="287"/>
      <c r="L1420" s="74"/>
    </row>
    <row r="1421" spans="1:12" ht="32.25" customHeight="1" hidden="1">
      <c r="A1421" s="37">
        <v>968</v>
      </c>
      <c r="B1421" s="45" t="s">
        <v>136</v>
      </c>
      <c r="C1421" s="46"/>
      <c r="D1421" s="40"/>
      <c r="E1421" s="41"/>
      <c r="F1421" s="41"/>
      <c r="G1421" s="42">
        <f>SUM(G1410:G1420)</f>
        <v>186182.00000000003</v>
      </c>
      <c r="H1421" s="51"/>
      <c r="I1421" s="287"/>
      <c r="K1421" s="74">
        <f>SUM(K1412:K1420)</f>
        <v>1755.3600000000001</v>
      </c>
      <c r="L1421" s="74" t="e">
        <f>SUM(#REF!)</f>
        <v>#REF!</v>
      </c>
    </row>
    <row r="1422" spans="1:11" ht="30" customHeight="1">
      <c r="A1422" s="37">
        <v>938</v>
      </c>
      <c r="B1422" s="38" t="s">
        <v>137</v>
      </c>
      <c r="C1422" s="52" t="s">
        <v>138</v>
      </c>
      <c r="D1422" s="40" t="s">
        <v>139</v>
      </c>
      <c r="E1422" s="41" t="s">
        <v>140</v>
      </c>
      <c r="F1422" s="53">
        <f>G1422/67.76</f>
        <v>2906.5082644628096</v>
      </c>
      <c r="G1422" s="42">
        <v>196945</v>
      </c>
      <c r="H1422" s="40" t="s">
        <v>63</v>
      </c>
      <c r="I1422" s="287"/>
      <c r="K1422" s="74">
        <v>86249.68</v>
      </c>
    </row>
    <row r="1423" spans="1:9" ht="21" customHeight="1" hidden="1">
      <c r="A1423" s="37">
        <v>970</v>
      </c>
      <c r="B1423" s="45" t="s">
        <v>141</v>
      </c>
      <c r="C1423" s="46"/>
      <c r="D1423" s="40"/>
      <c r="E1423" s="41"/>
      <c r="F1423" s="41"/>
      <c r="G1423" s="42">
        <f>SUM(G1422:G1422)</f>
        <v>196945</v>
      </c>
      <c r="H1423" s="51"/>
      <c r="I1423" s="287"/>
    </row>
    <row r="1424" spans="1:11" ht="30" customHeight="1">
      <c r="A1424" s="37">
        <v>939</v>
      </c>
      <c r="B1424" s="38" t="s">
        <v>142</v>
      </c>
      <c r="C1424" s="54" t="s">
        <v>143</v>
      </c>
      <c r="D1424" s="40" t="s">
        <v>144</v>
      </c>
      <c r="E1424" s="41" t="s">
        <v>145</v>
      </c>
      <c r="F1424" s="56">
        <f>G1424/4.143</f>
        <v>3283.8522809558294</v>
      </c>
      <c r="G1424" s="42">
        <v>13605</v>
      </c>
      <c r="H1424" s="40" t="s">
        <v>63</v>
      </c>
      <c r="I1424" s="287"/>
      <c r="K1424" s="12">
        <f>6170.5+1001.88</f>
        <v>7172.38</v>
      </c>
    </row>
    <row r="1425" spans="1:9" ht="21" customHeight="1" hidden="1">
      <c r="A1425" s="37">
        <v>972</v>
      </c>
      <c r="B1425" s="45" t="s">
        <v>146</v>
      </c>
      <c r="C1425" s="46"/>
      <c r="D1425" s="40"/>
      <c r="E1425" s="40"/>
      <c r="F1425" s="40"/>
      <c r="G1425" s="42">
        <f>G1424</f>
        <v>13605</v>
      </c>
      <c r="H1425" s="51"/>
      <c r="I1425" s="287"/>
    </row>
    <row r="1426" spans="1:9" ht="45" customHeight="1">
      <c r="A1426" s="37">
        <v>940</v>
      </c>
      <c r="B1426" s="38" t="s">
        <v>147</v>
      </c>
      <c r="C1426" s="54" t="s">
        <v>148</v>
      </c>
      <c r="D1426" s="40" t="s">
        <v>149</v>
      </c>
      <c r="E1426" s="41" t="s">
        <v>25</v>
      </c>
      <c r="F1426" s="56">
        <v>1</v>
      </c>
      <c r="G1426" s="42">
        <v>107900</v>
      </c>
      <c r="H1426" s="40" t="s">
        <v>63</v>
      </c>
      <c r="I1426" s="293"/>
    </row>
    <row r="1427" spans="1:9" ht="60" customHeight="1" hidden="1">
      <c r="A1427" s="37">
        <v>970</v>
      </c>
      <c r="B1427" s="86" t="s">
        <v>141</v>
      </c>
      <c r="C1427" s="46"/>
      <c r="D1427" s="40"/>
      <c r="E1427" s="41"/>
      <c r="F1427" s="41"/>
      <c r="G1427" s="42" t="e">
        <f>SUM(#REF!)</f>
        <v>#REF!</v>
      </c>
      <c r="H1427" s="51"/>
      <c r="I1427" s="100"/>
    </row>
    <row r="1428" spans="1:11" ht="30" customHeight="1" hidden="1">
      <c r="A1428" s="37">
        <v>936</v>
      </c>
      <c r="B1428" s="38" t="s">
        <v>142</v>
      </c>
      <c r="C1428" s="54" t="s">
        <v>143</v>
      </c>
      <c r="D1428" s="40" t="s">
        <v>144</v>
      </c>
      <c r="E1428" s="41" t="s">
        <v>145</v>
      </c>
      <c r="F1428" s="56">
        <f>G1428/4.143</f>
        <v>3283.8522809558294</v>
      </c>
      <c r="G1428" s="42">
        <v>13605</v>
      </c>
      <c r="H1428" s="40" t="s">
        <v>63</v>
      </c>
      <c r="I1428" s="100"/>
      <c r="K1428" s="12">
        <f>6170.5+1001.88</f>
        <v>7172.38</v>
      </c>
    </row>
    <row r="1429" spans="1:9" ht="30" customHeight="1" hidden="1">
      <c r="A1429" s="37">
        <v>972</v>
      </c>
      <c r="B1429" s="86" t="s">
        <v>146</v>
      </c>
      <c r="C1429" s="46"/>
      <c r="D1429" s="40"/>
      <c r="E1429" s="40"/>
      <c r="F1429" s="40"/>
      <c r="G1429" s="42">
        <f>G1428</f>
        <v>13605</v>
      </c>
      <c r="H1429" s="51"/>
      <c r="I1429" s="100"/>
    </row>
    <row r="1430" spans="1:9" ht="45" customHeight="1" hidden="1">
      <c r="A1430" s="37">
        <v>937</v>
      </c>
      <c r="B1430" s="38" t="s">
        <v>147</v>
      </c>
      <c r="C1430" s="54" t="s">
        <v>148</v>
      </c>
      <c r="D1430" s="40" t="s">
        <v>149</v>
      </c>
      <c r="E1430" s="41" t="s">
        <v>25</v>
      </c>
      <c r="F1430" s="56">
        <v>1</v>
      </c>
      <c r="G1430" s="42">
        <v>107900</v>
      </c>
      <c r="H1430" s="40" t="s">
        <v>63</v>
      </c>
      <c r="I1430" s="100"/>
    </row>
    <row r="1431" spans="1:9" ht="30" customHeight="1" hidden="1">
      <c r="A1431" s="37"/>
      <c r="B1431" s="86" t="s">
        <v>150</v>
      </c>
      <c r="C1431" s="46"/>
      <c r="D1431" s="40"/>
      <c r="E1431" s="40"/>
      <c r="F1431" s="40"/>
      <c r="G1431" s="42">
        <f>G1430</f>
        <v>107900</v>
      </c>
      <c r="H1431" s="51"/>
      <c r="I1431" s="100"/>
    </row>
    <row r="1432" spans="1:9" ht="32.25" customHeight="1" hidden="1">
      <c r="A1432" s="37"/>
      <c r="B1432" s="290" t="s">
        <v>685</v>
      </c>
      <c r="C1432" s="58"/>
      <c r="D1432" s="47"/>
      <c r="E1432" s="48"/>
      <c r="F1432" s="47"/>
      <c r="G1432" s="42" t="e">
        <f>#REF!+#REF!+G1427+G1429+G1431</f>
        <v>#REF!</v>
      </c>
      <c r="H1432" s="49"/>
      <c r="I1432" s="101"/>
    </row>
    <row r="1434" spans="2:5" ht="15">
      <c r="B1434" s="208" t="s">
        <v>151</v>
      </c>
      <c r="C1434" s="167"/>
      <c r="D1434" s="168"/>
      <c r="E1434" s="207"/>
    </row>
    <row r="1435" spans="1:9" ht="22.5" customHeight="1">
      <c r="A1435" s="19"/>
      <c r="B1435" s="106" t="s">
        <v>152</v>
      </c>
      <c r="C1435" s="107"/>
      <c r="D1435" s="108" t="s">
        <v>153</v>
      </c>
      <c r="E1435" s="109"/>
      <c r="F1435" s="109"/>
      <c r="G1435" s="110"/>
      <c r="H1435" s="171"/>
      <c r="I1435" s="223"/>
    </row>
    <row r="1436" spans="1:9" s="8" customFormat="1" ht="22.5" customHeight="1">
      <c r="A1436" s="19"/>
      <c r="B1436" s="111"/>
      <c r="C1436" s="9"/>
      <c r="D1436" s="112" t="s">
        <v>154</v>
      </c>
      <c r="E1436" s="113" t="s">
        <v>155</v>
      </c>
      <c r="F1436" s="114"/>
      <c r="G1436" s="110"/>
      <c r="H1436" s="171"/>
      <c r="I1436" s="223"/>
    </row>
    <row r="1437" spans="1:9" s="8" customFormat="1" ht="22.5" customHeight="1">
      <c r="A1437" s="19"/>
      <c r="B1437" s="115" t="s">
        <v>156</v>
      </c>
      <c r="C1437" s="116"/>
      <c r="D1437" s="108" t="s">
        <v>157</v>
      </c>
      <c r="E1437" s="109"/>
      <c r="F1437" s="109"/>
      <c r="G1437" s="110"/>
      <c r="H1437" s="171"/>
      <c r="I1437" s="223"/>
    </row>
    <row r="1438" spans="1:9" ht="22.5" customHeight="1">
      <c r="A1438" s="19"/>
      <c r="B1438" s="111"/>
      <c r="C1438" s="9"/>
      <c r="D1438" s="112" t="s">
        <v>154</v>
      </c>
      <c r="E1438" s="113"/>
      <c r="F1438" s="114"/>
      <c r="G1438" s="110"/>
      <c r="H1438" s="8"/>
      <c r="I1438" s="141"/>
    </row>
    <row r="1439" spans="1:9" s="8" customFormat="1" ht="22.5" customHeight="1">
      <c r="A1439" s="19"/>
      <c r="B1439" s="115" t="s">
        <v>158</v>
      </c>
      <c r="C1439" s="9"/>
      <c r="D1439" s="9"/>
      <c r="E1439" s="9"/>
      <c r="F1439" s="9"/>
      <c r="G1439" s="110"/>
      <c r="H1439" s="171"/>
      <c r="I1439" s="223"/>
    </row>
    <row r="1440" spans="1:9" s="2" customFormat="1" ht="30" customHeight="1">
      <c r="A1440" s="16"/>
      <c r="B1440" s="229" t="s">
        <v>159</v>
      </c>
      <c r="C1440" s="167"/>
      <c r="D1440" s="291" t="s">
        <v>160</v>
      </c>
      <c r="E1440" s="229"/>
      <c r="F1440" s="16"/>
      <c r="G1440" s="292"/>
      <c r="H1440" s="171"/>
      <c r="I1440" s="294"/>
    </row>
    <row r="1441" spans="2:9" ht="22.5" customHeight="1">
      <c r="B1441" s="230" t="s">
        <v>161</v>
      </c>
      <c r="C1441" s="167"/>
      <c r="D1441" s="168"/>
      <c r="E1441" s="207"/>
      <c r="H1441" s="8"/>
      <c r="I1441" s="30"/>
    </row>
    <row r="1442" spans="4:9" ht="15">
      <c r="D1442" s="3"/>
      <c r="E1442" s="3"/>
      <c r="F1442" s="19"/>
      <c r="G1442" s="15"/>
      <c r="H1442" s="8"/>
      <c r="I1442" s="30"/>
    </row>
    <row r="1444" spans="2:3" ht="15">
      <c r="B1444" s="5"/>
      <c r="C1444" s="5"/>
    </row>
    <row r="1445" spans="2:4" ht="15">
      <c r="B1445" s="3"/>
      <c r="C1445" s="3"/>
      <c r="D1445" s="3"/>
    </row>
  </sheetData>
  <sheetProtection/>
  <mergeCells count="379">
    <mergeCell ref="A8:I8"/>
    <mergeCell ref="A9:I9"/>
    <mergeCell ref="A10:I10"/>
    <mergeCell ref="F11:G11"/>
    <mergeCell ref="A12:I12"/>
    <mergeCell ref="A13:I13"/>
    <mergeCell ref="A14:I14"/>
    <mergeCell ref="A20:I20"/>
    <mergeCell ref="B30:C30"/>
    <mergeCell ref="B37:C37"/>
    <mergeCell ref="B39:C39"/>
    <mergeCell ref="B42:C42"/>
    <mergeCell ref="B44:C44"/>
    <mergeCell ref="B45:C45"/>
    <mergeCell ref="A46:I46"/>
    <mergeCell ref="B55:C55"/>
    <mergeCell ref="B63:C63"/>
    <mergeCell ref="B65:C65"/>
    <mergeCell ref="B68:C68"/>
    <mergeCell ref="B70:C70"/>
    <mergeCell ref="B71:C71"/>
    <mergeCell ref="A72:I72"/>
    <mergeCell ref="B85:C85"/>
    <mergeCell ref="B93:C93"/>
    <mergeCell ref="B95:C95"/>
    <mergeCell ref="B98:C98"/>
    <mergeCell ref="B100:C100"/>
    <mergeCell ref="B101:C101"/>
    <mergeCell ref="A102:I102"/>
    <mergeCell ref="B125:C125"/>
    <mergeCell ref="B131:C131"/>
    <mergeCell ref="B133:C133"/>
    <mergeCell ref="B136:C136"/>
    <mergeCell ref="B138:C138"/>
    <mergeCell ref="B139:C139"/>
    <mergeCell ref="F149:G149"/>
    <mergeCell ref="A150:I150"/>
    <mergeCell ref="A153:I153"/>
    <mergeCell ref="B183:C183"/>
    <mergeCell ref="B190:C190"/>
    <mergeCell ref="B192:C192"/>
    <mergeCell ref="B195:C195"/>
    <mergeCell ref="B197:C197"/>
    <mergeCell ref="F208:G208"/>
    <mergeCell ref="A209:I209"/>
    <mergeCell ref="A210:I210"/>
    <mergeCell ref="B228:C228"/>
    <mergeCell ref="B234:C234"/>
    <mergeCell ref="B236:C236"/>
    <mergeCell ref="B238:C238"/>
    <mergeCell ref="B239:C239"/>
    <mergeCell ref="F250:G250"/>
    <mergeCell ref="A251:I251"/>
    <mergeCell ref="A252:I252"/>
    <mergeCell ref="B271:C271"/>
    <mergeCell ref="B305:C305"/>
    <mergeCell ref="B316:C316"/>
    <mergeCell ref="B318:C318"/>
    <mergeCell ref="B321:C321"/>
    <mergeCell ref="B323:C323"/>
    <mergeCell ref="B325:C325"/>
    <mergeCell ref="A340:I340"/>
    <mergeCell ref="A341:I341"/>
    <mergeCell ref="B379:C379"/>
    <mergeCell ref="B410:C410"/>
    <mergeCell ref="B422:C422"/>
    <mergeCell ref="B424:C424"/>
    <mergeCell ref="B427:C427"/>
    <mergeCell ref="B429:C429"/>
    <mergeCell ref="A443:I443"/>
    <mergeCell ref="B465:C465"/>
    <mergeCell ref="B500:C500"/>
    <mergeCell ref="B512:C512"/>
    <mergeCell ref="B514:C514"/>
    <mergeCell ref="B516:C516"/>
    <mergeCell ref="B518:C518"/>
    <mergeCell ref="A533:I533"/>
    <mergeCell ref="B574:C574"/>
    <mergeCell ref="B608:C608"/>
    <mergeCell ref="B617:C617"/>
    <mergeCell ref="B619:C619"/>
    <mergeCell ref="B621:C621"/>
    <mergeCell ref="B623:C623"/>
    <mergeCell ref="A640:I640"/>
    <mergeCell ref="B660:C660"/>
    <mergeCell ref="C691:D691"/>
    <mergeCell ref="B705:C705"/>
    <mergeCell ref="B707:C707"/>
    <mergeCell ref="B709:C709"/>
    <mergeCell ref="A726:I726"/>
    <mergeCell ref="B738:C738"/>
    <mergeCell ref="D760:E760"/>
    <mergeCell ref="B771:C771"/>
    <mergeCell ref="B773:C773"/>
    <mergeCell ref="B775:C775"/>
    <mergeCell ref="B777:C777"/>
    <mergeCell ref="A793:I793"/>
    <mergeCell ref="B822:C822"/>
    <mergeCell ref="D841:E841"/>
    <mergeCell ref="B851:C851"/>
    <mergeCell ref="B853:C853"/>
    <mergeCell ref="B855:C855"/>
    <mergeCell ref="B857:C857"/>
    <mergeCell ref="A872:I872"/>
    <mergeCell ref="B901:C901"/>
    <mergeCell ref="C933:D933"/>
    <mergeCell ref="B942:C942"/>
    <mergeCell ref="B944:C944"/>
    <mergeCell ref="B946:C946"/>
    <mergeCell ref="A961:I961"/>
    <mergeCell ref="B986:C986"/>
    <mergeCell ref="C1014:D1014"/>
    <mergeCell ref="B1024:C1024"/>
    <mergeCell ref="B1026:C1026"/>
    <mergeCell ref="B1028:C1028"/>
    <mergeCell ref="A1042:I1042"/>
    <mergeCell ref="B1064:C1064"/>
    <mergeCell ref="B1075:C1075"/>
    <mergeCell ref="B1077:C1077"/>
    <mergeCell ref="B1079:C1079"/>
    <mergeCell ref="A1094:I1094"/>
    <mergeCell ref="B1110:C1110"/>
    <mergeCell ref="B1137:C1137"/>
    <mergeCell ref="B1145:C1145"/>
    <mergeCell ref="B1147:C1147"/>
    <mergeCell ref="B1149:C1149"/>
    <mergeCell ref="B1151:C1151"/>
    <mergeCell ref="A1166:I1166"/>
    <mergeCell ref="B1188:C1188"/>
    <mergeCell ref="B1224:C1224"/>
    <mergeCell ref="B1232:C1232"/>
    <mergeCell ref="B1234:C1234"/>
    <mergeCell ref="B1236:C1236"/>
    <mergeCell ref="B1238:C1238"/>
    <mergeCell ref="A1252:I1252"/>
    <mergeCell ref="B1296:C1296"/>
    <mergeCell ref="B1326:C1326"/>
    <mergeCell ref="B1337:C1337"/>
    <mergeCell ref="B1339:C1339"/>
    <mergeCell ref="B1341:C1341"/>
    <mergeCell ref="B1343:C1343"/>
    <mergeCell ref="A1358:I1358"/>
    <mergeCell ref="B1385:C1385"/>
    <mergeCell ref="B1409:C1409"/>
    <mergeCell ref="B1421:C1421"/>
    <mergeCell ref="B1423:C1423"/>
    <mergeCell ref="B1425:C1425"/>
    <mergeCell ref="B1427:C1427"/>
    <mergeCell ref="B1429:C1429"/>
    <mergeCell ref="B1431:C1431"/>
    <mergeCell ref="B1432:C1432"/>
    <mergeCell ref="B1445:C1445"/>
    <mergeCell ref="A16:A18"/>
    <mergeCell ref="A49:A51"/>
    <mergeCell ref="A75:A77"/>
    <mergeCell ref="A105:A107"/>
    <mergeCell ref="A156:A158"/>
    <mergeCell ref="A213:A215"/>
    <mergeCell ref="A255:A257"/>
    <mergeCell ref="A344:A346"/>
    <mergeCell ref="A446:A448"/>
    <mergeCell ref="A536:A538"/>
    <mergeCell ref="A643:A645"/>
    <mergeCell ref="A729:A731"/>
    <mergeCell ref="A796:A798"/>
    <mergeCell ref="A875:A877"/>
    <mergeCell ref="A964:A966"/>
    <mergeCell ref="A1045:A1047"/>
    <mergeCell ref="A1097:A1099"/>
    <mergeCell ref="A1169:A1171"/>
    <mergeCell ref="A1255:A1257"/>
    <mergeCell ref="A1361:A1363"/>
    <mergeCell ref="B16:B18"/>
    <mergeCell ref="B49:B51"/>
    <mergeCell ref="B75:B77"/>
    <mergeCell ref="B105:B107"/>
    <mergeCell ref="B156:B158"/>
    <mergeCell ref="B213:B215"/>
    <mergeCell ref="B255:B257"/>
    <mergeCell ref="B344:B346"/>
    <mergeCell ref="B446:B448"/>
    <mergeCell ref="B536:B538"/>
    <mergeCell ref="B643:B645"/>
    <mergeCell ref="B729:B731"/>
    <mergeCell ref="B796:B798"/>
    <mergeCell ref="B875:B877"/>
    <mergeCell ref="B964:B966"/>
    <mergeCell ref="B1045:B1047"/>
    <mergeCell ref="B1097:B1099"/>
    <mergeCell ref="B1169:B1171"/>
    <mergeCell ref="B1255:B1257"/>
    <mergeCell ref="B1361:B1363"/>
    <mergeCell ref="C16:C18"/>
    <mergeCell ref="C49:C51"/>
    <mergeCell ref="C75:C77"/>
    <mergeCell ref="C105:C107"/>
    <mergeCell ref="C156:C158"/>
    <mergeCell ref="C213:C215"/>
    <mergeCell ref="C255:C257"/>
    <mergeCell ref="C344:C346"/>
    <mergeCell ref="C446:C448"/>
    <mergeCell ref="C536:C538"/>
    <mergeCell ref="C643:C645"/>
    <mergeCell ref="C729:C731"/>
    <mergeCell ref="C796:C798"/>
    <mergeCell ref="C875:C877"/>
    <mergeCell ref="C964:C966"/>
    <mergeCell ref="C1045:C1047"/>
    <mergeCell ref="C1097:C1099"/>
    <mergeCell ref="C1169:C1171"/>
    <mergeCell ref="C1255:C1257"/>
    <mergeCell ref="C1361:C1363"/>
    <mergeCell ref="D1:D5"/>
    <mergeCell ref="D16:D18"/>
    <mergeCell ref="D49:D51"/>
    <mergeCell ref="D75:D77"/>
    <mergeCell ref="D105:D107"/>
    <mergeCell ref="D156:D158"/>
    <mergeCell ref="D213:D215"/>
    <mergeCell ref="D255:D257"/>
    <mergeCell ref="D344:D346"/>
    <mergeCell ref="D446:D448"/>
    <mergeCell ref="D536:D538"/>
    <mergeCell ref="D643:D645"/>
    <mergeCell ref="D729:D731"/>
    <mergeCell ref="D796:D798"/>
    <mergeCell ref="D875:D877"/>
    <mergeCell ref="D964:D966"/>
    <mergeCell ref="D1045:D1047"/>
    <mergeCell ref="D1097:D1099"/>
    <mergeCell ref="D1169:D1171"/>
    <mergeCell ref="D1255:D1257"/>
    <mergeCell ref="D1361:D1363"/>
    <mergeCell ref="E16:E18"/>
    <mergeCell ref="E49:E51"/>
    <mergeCell ref="E75:E77"/>
    <mergeCell ref="E105:E107"/>
    <mergeCell ref="E156:E158"/>
    <mergeCell ref="E213:E215"/>
    <mergeCell ref="E255:E257"/>
    <mergeCell ref="E344:E346"/>
    <mergeCell ref="E446:E448"/>
    <mergeCell ref="E536:E538"/>
    <mergeCell ref="E643:E645"/>
    <mergeCell ref="E729:E731"/>
    <mergeCell ref="E796:E798"/>
    <mergeCell ref="E875:E877"/>
    <mergeCell ref="E964:E966"/>
    <mergeCell ref="E1045:E1047"/>
    <mergeCell ref="E1097:E1099"/>
    <mergeCell ref="E1169:E1171"/>
    <mergeCell ref="E1255:E1257"/>
    <mergeCell ref="E1361:E1363"/>
    <mergeCell ref="F16:F18"/>
    <mergeCell ref="F49:F51"/>
    <mergeCell ref="F75:F77"/>
    <mergeCell ref="F105:F107"/>
    <mergeCell ref="F156:F158"/>
    <mergeCell ref="F213:F215"/>
    <mergeCell ref="F255:F257"/>
    <mergeCell ref="F344:F346"/>
    <mergeCell ref="F446:F448"/>
    <mergeCell ref="F536:F538"/>
    <mergeCell ref="F643:F645"/>
    <mergeCell ref="F729:F731"/>
    <mergeCell ref="F796:F798"/>
    <mergeCell ref="F875:F877"/>
    <mergeCell ref="F964:F966"/>
    <mergeCell ref="F1045:F1047"/>
    <mergeCell ref="F1097:F1099"/>
    <mergeCell ref="F1169:F1171"/>
    <mergeCell ref="F1255:F1257"/>
    <mergeCell ref="F1361:F1363"/>
    <mergeCell ref="G16:G18"/>
    <mergeCell ref="G49:G51"/>
    <mergeCell ref="G75:G77"/>
    <mergeCell ref="G105:G107"/>
    <mergeCell ref="G156:G158"/>
    <mergeCell ref="G213:G215"/>
    <mergeCell ref="G255:G257"/>
    <mergeCell ref="G344:G346"/>
    <mergeCell ref="G446:G448"/>
    <mergeCell ref="G536:G538"/>
    <mergeCell ref="G643:G645"/>
    <mergeCell ref="G729:G731"/>
    <mergeCell ref="G796:G798"/>
    <mergeCell ref="G875:G877"/>
    <mergeCell ref="G964:G966"/>
    <mergeCell ref="G1045:G1047"/>
    <mergeCell ref="G1097:G1099"/>
    <mergeCell ref="G1169:G1171"/>
    <mergeCell ref="G1255:G1257"/>
    <mergeCell ref="G1361:G1363"/>
    <mergeCell ref="H16:H18"/>
    <mergeCell ref="H49:H51"/>
    <mergeCell ref="H75:H77"/>
    <mergeCell ref="H105:H107"/>
    <mergeCell ref="H156:H158"/>
    <mergeCell ref="H213:H215"/>
    <mergeCell ref="H255:H257"/>
    <mergeCell ref="H344:H346"/>
    <mergeCell ref="H446:H448"/>
    <mergeCell ref="H536:H538"/>
    <mergeCell ref="H643:H645"/>
    <mergeCell ref="H729:H731"/>
    <mergeCell ref="H796:H798"/>
    <mergeCell ref="H875:H877"/>
    <mergeCell ref="H964:H966"/>
    <mergeCell ref="H1045:H1047"/>
    <mergeCell ref="H1097:H1099"/>
    <mergeCell ref="H1169:H1171"/>
    <mergeCell ref="H1255:H1257"/>
    <mergeCell ref="H1361:H1363"/>
    <mergeCell ref="I16:I18"/>
    <mergeCell ref="I21:I45"/>
    <mergeCell ref="I49:I51"/>
    <mergeCell ref="I53:I71"/>
    <mergeCell ref="I75:I77"/>
    <mergeCell ref="I79:I101"/>
    <mergeCell ref="I105:I107"/>
    <mergeCell ref="I109:I139"/>
    <mergeCell ref="I156:I158"/>
    <mergeCell ref="I160:I198"/>
    <mergeCell ref="I213:I215"/>
    <mergeCell ref="I217:I239"/>
    <mergeCell ref="I255:I257"/>
    <mergeCell ref="I259:I325"/>
    <mergeCell ref="I344:I346"/>
    <mergeCell ref="I348:I429"/>
    <mergeCell ref="I446:I448"/>
    <mergeCell ref="I450:I517"/>
    <mergeCell ref="I536:I538"/>
    <mergeCell ref="I540:I623"/>
    <mergeCell ref="I643:I645"/>
    <mergeCell ref="I647:I709"/>
    <mergeCell ref="I729:I731"/>
    <mergeCell ref="I733:I777"/>
    <mergeCell ref="I796:I798"/>
    <mergeCell ref="I800:I857"/>
    <mergeCell ref="I875:I877"/>
    <mergeCell ref="I879:I946"/>
    <mergeCell ref="I964:I966"/>
    <mergeCell ref="I968:I1028"/>
    <mergeCell ref="I1045:I1047"/>
    <mergeCell ref="I1049:I1079"/>
    <mergeCell ref="I1097:I1099"/>
    <mergeCell ref="I1101:I1151"/>
    <mergeCell ref="I1169:I1171"/>
    <mergeCell ref="I1173:I1238"/>
    <mergeCell ref="I1255:I1257"/>
    <mergeCell ref="I1259:I1343"/>
    <mergeCell ref="I1361:I1363"/>
    <mergeCell ref="I1365:I1426"/>
    <mergeCell ref="I1427:I1432"/>
    <mergeCell ref="F1353:G1354"/>
    <mergeCell ref="A1356:I1357"/>
    <mergeCell ref="F1247:G1248"/>
    <mergeCell ref="A1250:I1251"/>
    <mergeCell ref="F1037:G1038"/>
    <mergeCell ref="A1040:I1041"/>
    <mergeCell ref="F1089:G1090"/>
    <mergeCell ref="A1092:I1093"/>
    <mergeCell ref="F1161:G1162"/>
    <mergeCell ref="A1164:I1165"/>
    <mergeCell ref="F788:G789"/>
    <mergeCell ref="A791:I792"/>
    <mergeCell ref="F867:G868"/>
    <mergeCell ref="A870:I871"/>
    <mergeCell ref="F956:G957"/>
    <mergeCell ref="A959:I960"/>
    <mergeCell ref="A441:I442"/>
    <mergeCell ref="B531:J532"/>
    <mergeCell ref="F529:G530"/>
    <mergeCell ref="F635:G636"/>
    <mergeCell ref="A638:I639"/>
    <mergeCell ref="F337:G338"/>
    <mergeCell ref="F721:G722"/>
    <mergeCell ref="A724:I725"/>
    <mergeCell ref="F439:G440"/>
  </mergeCells>
  <hyperlinks>
    <hyperlink ref="C114" r:id="rId1" display="20.60.1; ДК 016:2010"/>
    <hyperlink ref="C113" r:id="rId2" display="25.99.2; ДК 016:2010"/>
    <hyperlink ref="C162" r:id="rId3" display="20.41.3; ДК 016:2010"/>
    <hyperlink ref="C182" r:id="rId4" display="27.40.1; ДК 016:2010"/>
    <hyperlink ref="C221" r:id="rId5" display="20.41.3; ДК 016:2010"/>
    <hyperlink ref="C220" r:id="rId6" display="20.41.3; ДК 016:2010"/>
    <hyperlink ref="C222" r:id="rId7" display="20.30.2; ДК 016:2010"/>
    <hyperlink ref="C223" r:id="rId8" display="20.52.1; ДК 016:2010"/>
    <hyperlink ref="C224" r:id="rId9" display="22.29.2; ДК 016:2010"/>
    <hyperlink ref="C225" r:id="rId10" display="22.29.2; ДК 016:2010"/>
    <hyperlink ref="C226" r:id="rId11" display="27.40.1; ДК 016:2010"/>
    <hyperlink ref="C269" r:id="rId12" display="73.11.1; ДК 016:2010"/>
    <hyperlink ref="C374" r:id="rId13" display="73.11.1; ДК 016:2010"/>
    <hyperlink ref="C452" r:id="rId14" display="20.41.3; ДК 016:2010"/>
    <hyperlink ref="C463" r:id="rId15" display="73.11.1; ДК 016:2010"/>
    <hyperlink ref="C568" r:id="rId16" display="73.11.1; ДК 016:2010"/>
    <hyperlink ref="C652" r:id="rId17" display="20.41.3; ДК 016:2010"/>
    <hyperlink ref="C653" r:id="rId18" display="20.30.1; ДК 016:2010"/>
    <hyperlink ref="C654" r:id="rId19" display="17.24.1; ДК 016:2010"/>
    <hyperlink ref="C655" r:id="rId20" display="25.99.1; ДК 016:2010"/>
    <hyperlink ref="C657" r:id="rId21" display="25.99.1; ДК 016:2010"/>
    <hyperlink ref="C659" r:id="rId22" display="32.30.1; ДК 016:2010"/>
    <hyperlink ref="C656" r:id="rId23" display="22.29.2; ДК 016:2010"/>
    <hyperlink ref="C658" r:id="rId24" display="73.11.1; ДК 016:2010"/>
    <hyperlink ref="C737" r:id="rId25" display="73.11.1; ДК 016:2010"/>
    <hyperlink ref="C804" r:id="rId26" display="20.41.3; ДК 016:2010"/>
    <hyperlink ref="C821" r:id="rId27" display="73.11.1; ДК 016:2010"/>
    <hyperlink ref="C807" r:id="rId28" display="25.71.1; ДК 016:2010"/>
    <hyperlink ref="C820" r:id="rId29" display="31.00.1; ДК 016:2010"/>
    <hyperlink ref="C900" r:id="rId30" display="73.11.1; ДК 016:2010"/>
    <hyperlink ref="C984" r:id="rId31" display="73.11.1; ДК 016:2010"/>
    <hyperlink ref="C1063" r:id="rId32" display="73.11.1; ДК 016:2010"/>
    <hyperlink ref="C1109" r:id="rId33" display="73.11.1; ДК 016:2010"/>
    <hyperlink ref="C1176" r:id="rId34" display="20.41.3; ДК 016:2010"/>
    <hyperlink ref="C1183" r:id="rId35" display="73.11.1; ДК 016:2010"/>
    <hyperlink ref="C1294" r:id="rId36" display="73.11.1; ДК 016:2010"/>
    <hyperlink ref="C1384" r:id="rId37" display="73.11.1; ДК 016:2010"/>
  </hyperlinks>
  <printOptions/>
  <pageMargins left="0.16" right="0.16" top="0.71" bottom="0.31" header="0.31" footer="0.16"/>
  <pageSetup fitToHeight="8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2"/>
  <sheetViews>
    <sheetView view="pageBreakPreview" zoomScale="90" zoomScaleNormal="90" zoomScaleSheetLayoutView="90" workbookViewId="0" topLeftCell="A37">
      <selection activeCell="B25" sqref="B25:C59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317" t="s">
        <v>248</v>
      </c>
      <c r="B2" s="317"/>
      <c r="C2" s="317"/>
      <c r="D2" s="317"/>
      <c r="E2" s="317"/>
      <c r="F2" s="317"/>
      <c r="G2" s="317"/>
      <c r="H2" s="317"/>
      <c r="I2" s="317"/>
    </row>
    <row r="3" spans="3:9" ht="14.25" customHeight="1">
      <c r="C3" s="124"/>
      <c r="D3" s="268" t="s">
        <v>4</v>
      </c>
      <c r="E3" s="124"/>
      <c r="F3" s="124"/>
      <c r="G3" s="3"/>
      <c r="H3" s="16"/>
      <c r="I3" s="16"/>
    </row>
    <row r="4" spans="5:6" ht="14.25" customHeight="1">
      <c r="E4" s="3"/>
      <c r="F4" s="3"/>
    </row>
    <row r="5" spans="1:11" ht="15.75" customHeight="1">
      <c r="A5" s="26" t="s">
        <v>5</v>
      </c>
      <c r="B5" s="27" t="s">
        <v>6</v>
      </c>
      <c r="C5" s="28" t="s">
        <v>7</v>
      </c>
      <c r="D5" s="28" t="s">
        <v>249</v>
      </c>
      <c r="E5" s="28" t="s">
        <v>9</v>
      </c>
      <c r="F5" s="28" t="s">
        <v>10</v>
      </c>
      <c r="G5" s="28" t="s">
        <v>250</v>
      </c>
      <c r="H5" s="28" t="s">
        <v>251</v>
      </c>
      <c r="I5" s="28" t="s">
        <v>13</v>
      </c>
      <c r="J5" s="71"/>
      <c r="K5" s="71"/>
    </row>
    <row r="6" spans="1:9" ht="31.5" customHeight="1">
      <c r="A6" s="29"/>
      <c r="B6" s="30"/>
      <c r="C6" s="31"/>
      <c r="D6" s="31"/>
      <c r="E6" s="31"/>
      <c r="F6" s="31"/>
      <c r="G6" s="31"/>
      <c r="H6" s="31"/>
      <c r="I6" s="31"/>
    </row>
    <row r="7" spans="1:9" ht="37.5" customHeight="1">
      <c r="A7" s="32"/>
      <c r="B7" s="33"/>
      <c r="C7" s="34"/>
      <c r="D7" s="34"/>
      <c r="E7" s="34"/>
      <c r="F7" s="34"/>
      <c r="G7" s="34"/>
      <c r="H7" s="34"/>
      <c r="I7" s="34"/>
    </row>
    <row r="8" spans="1:14" ht="20.25" customHeight="1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72">
        <v>9</v>
      </c>
      <c r="N8" s="12" t="s">
        <v>252</v>
      </c>
    </row>
    <row r="9" spans="1:12" ht="30" customHeight="1">
      <c r="A9" s="37">
        <v>745</v>
      </c>
      <c r="B9" s="38" t="s">
        <v>15</v>
      </c>
      <c r="C9" s="39" t="s">
        <v>16</v>
      </c>
      <c r="D9" s="40" t="s">
        <v>17</v>
      </c>
      <c r="E9" s="41" t="s">
        <v>18</v>
      </c>
      <c r="F9" s="41">
        <v>10</v>
      </c>
      <c r="G9" s="295">
        <v>2100</v>
      </c>
      <c r="H9" s="137" t="s">
        <v>63</v>
      </c>
      <c r="I9" s="224" t="s">
        <v>253</v>
      </c>
      <c r="L9" s="74">
        <f>G9-K9</f>
        <v>2100</v>
      </c>
    </row>
    <row r="10" spans="1:12" ht="30" customHeight="1">
      <c r="A10" s="37">
        <v>746</v>
      </c>
      <c r="B10" s="98" t="s">
        <v>254</v>
      </c>
      <c r="C10" s="99" t="s">
        <v>24</v>
      </c>
      <c r="D10" s="99" t="s">
        <v>17</v>
      </c>
      <c r="E10" s="162" t="s">
        <v>25</v>
      </c>
      <c r="F10" s="34">
        <v>5</v>
      </c>
      <c r="G10" s="295">
        <v>870</v>
      </c>
      <c r="H10" s="137" t="s">
        <v>63</v>
      </c>
      <c r="I10" s="224"/>
      <c r="L10" s="74"/>
    </row>
    <row r="11" spans="1:12" ht="45" customHeight="1">
      <c r="A11" s="37">
        <v>747</v>
      </c>
      <c r="B11" s="98" t="s">
        <v>255</v>
      </c>
      <c r="C11" s="99" t="s">
        <v>27</v>
      </c>
      <c r="D11" s="40" t="s">
        <v>17</v>
      </c>
      <c r="E11" s="41" t="s">
        <v>22</v>
      </c>
      <c r="F11" s="41">
        <v>3</v>
      </c>
      <c r="G11" s="295">
        <v>528</v>
      </c>
      <c r="H11" s="137" t="s">
        <v>63</v>
      </c>
      <c r="I11" s="224"/>
      <c r="L11" s="74">
        <f>G11-K11</f>
        <v>528</v>
      </c>
    </row>
    <row r="12" spans="1:12" ht="30" customHeight="1">
      <c r="A12" s="37">
        <v>748</v>
      </c>
      <c r="B12" s="98" t="s">
        <v>256</v>
      </c>
      <c r="C12" s="99" t="s">
        <v>27</v>
      </c>
      <c r="D12" s="137" t="s">
        <v>17</v>
      </c>
      <c r="E12" s="138" t="s">
        <v>25</v>
      </c>
      <c r="F12" s="41">
        <v>8</v>
      </c>
      <c r="G12" s="295">
        <v>472</v>
      </c>
      <c r="H12" s="51" t="s">
        <v>63</v>
      </c>
      <c r="I12" s="224"/>
      <c r="L12" s="74"/>
    </row>
    <row r="13" spans="1:12" ht="30" customHeight="1">
      <c r="A13" s="37">
        <v>749</v>
      </c>
      <c r="B13" s="98" t="s">
        <v>257</v>
      </c>
      <c r="C13" s="99" t="s">
        <v>33</v>
      </c>
      <c r="D13" s="137" t="s">
        <v>17</v>
      </c>
      <c r="E13" s="138" t="s">
        <v>34</v>
      </c>
      <c r="F13" s="41">
        <v>100</v>
      </c>
      <c r="G13" s="295">
        <v>12000</v>
      </c>
      <c r="H13" s="51" t="s">
        <v>63</v>
      </c>
      <c r="I13" s="224"/>
      <c r="L13" s="74"/>
    </row>
    <row r="14" spans="1:12" ht="30" customHeight="1">
      <c r="A14" s="37">
        <v>750</v>
      </c>
      <c r="B14" s="98" t="s">
        <v>258</v>
      </c>
      <c r="C14" s="99" t="s">
        <v>44</v>
      </c>
      <c r="D14" s="137" t="s">
        <v>17</v>
      </c>
      <c r="E14" s="138" t="s">
        <v>25</v>
      </c>
      <c r="F14" s="41">
        <v>2</v>
      </c>
      <c r="G14" s="295">
        <v>580</v>
      </c>
      <c r="H14" s="51" t="s">
        <v>63</v>
      </c>
      <c r="I14" s="224"/>
      <c r="L14" s="74"/>
    </row>
    <row r="15" spans="1:12" ht="30" customHeight="1">
      <c r="A15" s="37">
        <v>751</v>
      </c>
      <c r="B15" s="98" t="s">
        <v>259</v>
      </c>
      <c r="C15" s="99" t="s">
        <v>260</v>
      </c>
      <c r="D15" s="137" t="s">
        <v>17</v>
      </c>
      <c r="E15" s="138" t="s">
        <v>25</v>
      </c>
      <c r="F15" s="41">
        <v>2</v>
      </c>
      <c r="G15" s="295">
        <v>4603.42</v>
      </c>
      <c r="H15" s="51" t="s">
        <v>63</v>
      </c>
      <c r="I15" s="224"/>
      <c r="L15" s="74"/>
    </row>
    <row r="16" spans="1:12" ht="30" customHeight="1">
      <c r="A16" s="37">
        <v>752</v>
      </c>
      <c r="B16" s="98" t="s">
        <v>261</v>
      </c>
      <c r="C16" s="99" t="s">
        <v>44</v>
      </c>
      <c r="D16" s="137" t="s">
        <v>17</v>
      </c>
      <c r="E16" s="138" t="s">
        <v>25</v>
      </c>
      <c r="F16" s="41">
        <v>2</v>
      </c>
      <c r="G16" s="295">
        <v>1400</v>
      </c>
      <c r="H16" s="51" t="s">
        <v>63</v>
      </c>
      <c r="I16" s="224"/>
      <c r="L16" s="74"/>
    </row>
    <row r="17" spans="1:12" ht="45" customHeight="1">
      <c r="A17" s="37">
        <v>753</v>
      </c>
      <c r="B17" s="98" t="s">
        <v>262</v>
      </c>
      <c r="C17" s="99" t="s">
        <v>204</v>
      </c>
      <c r="D17" s="137" t="s">
        <v>17</v>
      </c>
      <c r="E17" s="138" t="s">
        <v>25</v>
      </c>
      <c r="F17" s="41">
        <v>4</v>
      </c>
      <c r="G17" s="295">
        <v>788</v>
      </c>
      <c r="H17" s="51" t="s">
        <v>63</v>
      </c>
      <c r="I17" s="224"/>
      <c r="L17" s="74"/>
    </row>
    <row r="18" spans="1:12" ht="30" customHeight="1">
      <c r="A18" s="37">
        <v>754</v>
      </c>
      <c r="B18" s="98" t="s">
        <v>263</v>
      </c>
      <c r="C18" s="99" t="s">
        <v>179</v>
      </c>
      <c r="D18" s="137" t="s">
        <v>17</v>
      </c>
      <c r="E18" s="138" t="s">
        <v>25</v>
      </c>
      <c r="F18" s="41">
        <v>2</v>
      </c>
      <c r="G18" s="295">
        <v>230</v>
      </c>
      <c r="H18" s="51" t="s">
        <v>63</v>
      </c>
      <c r="I18" s="224"/>
      <c r="L18" s="74"/>
    </row>
    <row r="19" spans="1:12" ht="30" customHeight="1">
      <c r="A19" s="37">
        <v>755</v>
      </c>
      <c r="B19" s="38" t="s">
        <v>57</v>
      </c>
      <c r="C19" s="40" t="s">
        <v>58</v>
      </c>
      <c r="D19" s="40" t="s">
        <v>17</v>
      </c>
      <c r="E19" s="41" t="s">
        <v>25</v>
      </c>
      <c r="F19" s="41">
        <v>1</v>
      </c>
      <c r="G19" s="42">
        <v>2500.2</v>
      </c>
      <c r="H19" s="155" t="s">
        <v>63</v>
      </c>
      <c r="I19" s="224"/>
      <c r="L19" s="74"/>
    </row>
    <row r="20" spans="1:12" ht="30" customHeight="1">
      <c r="A20" s="37">
        <v>756</v>
      </c>
      <c r="B20" s="38" t="s">
        <v>208</v>
      </c>
      <c r="C20" s="43" t="s">
        <v>209</v>
      </c>
      <c r="D20" s="137" t="s">
        <v>17</v>
      </c>
      <c r="E20" s="138" t="s">
        <v>264</v>
      </c>
      <c r="F20" s="53">
        <f>10.77+4.586065</f>
        <v>15.356065</v>
      </c>
      <c r="G20" s="295">
        <f>2044.25+870.16</f>
        <v>2914.41</v>
      </c>
      <c r="H20" s="51" t="s">
        <v>63</v>
      </c>
      <c r="I20" s="224"/>
      <c r="L20" s="74"/>
    </row>
    <row r="21" spans="1:12" ht="45" customHeight="1">
      <c r="A21" s="37">
        <v>757</v>
      </c>
      <c r="B21" s="38" t="s">
        <v>265</v>
      </c>
      <c r="C21" s="43" t="s">
        <v>204</v>
      </c>
      <c r="D21" s="137" t="s">
        <v>17</v>
      </c>
      <c r="E21" s="138" t="s">
        <v>205</v>
      </c>
      <c r="F21" s="41">
        <v>2.15</v>
      </c>
      <c r="G21" s="295">
        <v>801.95</v>
      </c>
      <c r="H21" s="51" t="s">
        <v>63</v>
      </c>
      <c r="I21" s="224"/>
      <c r="L21" s="74"/>
    </row>
    <row r="22" spans="1:12" ht="45" customHeight="1">
      <c r="A22" s="37">
        <v>758</v>
      </c>
      <c r="B22" s="98" t="s">
        <v>266</v>
      </c>
      <c r="C22" s="99" t="s">
        <v>204</v>
      </c>
      <c r="D22" s="137" t="s">
        <v>17</v>
      </c>
      <c r="E22" s="138" t="s">
        <v>264</v>
      </c>
      <c r="F22" s="41">
        <v>7.2</v>
      </c>
      <c r="G22" s="295">
        <v>6552</v>
      </c>
      <c r="H22" s="51" t="s">
        <v>63</v>
      </c>
      <c r="I22" s="224"/>
      <c r="L22" s="74"/>
    </row>
    <row r="23" spans="1:12" ht="45" customHeight="1">
      <c r="A23" s="37">
        <v>759</v>
      </c>
      <c r="B23" s="98" t="s">
        <v>267</v>
      </c>
      <c r="C23" s="99" t="s">
        <v>204</v>
      </c>
      <c r="D23" s="137" t="s">
        <v>17</v>
      </c>
      <c r="E23" s="138" t="s">
        <v>205</v>
      </c>
      <c r="F23" s="41">
        <v>33.3312</v>
      </c>
      <c r="G23" s="295">
        <v>88210.02</v>
      </c>
      <c r="H23" s="51" t="s">
        <v>63</v>
      </c>
      <c r="I23" s="224"/>
      <c r="L23" s="74"/>
    </row>
    <row r="24" spans="1:14" s="10" customFormat="1" ht="30" customHeight="1">
      <c r="A24" s="296"/>
      <c r="B24" s="260" t="s">
        <v>59</v>
      </c>
      <c r="C24" s="261"/>
      <c r="D24" s="262"/>
      <c r="E24" s="263"/>
      <c r="F24" s="263"/>
      <c r="G24" s="297">
        <f>SUM(G9:G23)</f>
        <v>124550</v>
      </c>
      <c r="H24" s="265"/>
      <c r="I24" s="224"/>
      <c r="K24" s="10">
        <f>SUM(K9:K23)</f>
        <v>0</v>
      </c>
      <c r="L24" s="267">
        <f>G24-K24</f>
        <v>124550</v>
      </c>
      <c r="N24" s="10">
        <f>M24-K24</f>
        <v>0</v>
      </c>
    </row>
    <row r="25" spans="1:12" ht="30" customHeight="1">
      <c r="A25" s="37">
        <v>760</v>
      </c>
      <c r="B25" s="38" t="s">
        <v>268</v>
      </c>
      <c r="C25" s="40" t="s">
        <v>70</v>
      </c>
      <c r="D25" s="40" t="s">
        <v>62</v>
      </c>
      <c r="E25" s="41" t="s">
        <v>34</v>
      </c>
      <c r="F25" s="69">
        <v>4</v>
      </c>
      <c r="G25" s="295">
        <v>82.1</v>
      </c>
      <c r="H25" s="51" t="s">
        <v>63</v>
      </c>
      <c r="I25" s="224"/>
      <c r="L25" s="74"/>
    </row>
    <row r="26" spans="1:12" ht="30" customHeight="1">
      <c r="A26" s="37">
        <v>761</v>
      </c>
      <c r="B26" s="40" t="s">
        <v>269</v>
      </c>
      <c r="C26" s="40" t="s">
        <v>270</v>
      </c>
      <c r="D26" s="40" t="s">
        <v>62</v>
      </c>
      <c r="E26" s="41" t="s">
        <v>34</v>
      </c>
      <c r="F26" s="69">
        <v>0.3</v>
      </c>
      <c r="G26" s="295">
        <v>112.32</v>
      </c>
      <c r="H26" s="51" t="s">
        <v>63</v>
      </c>
      <c r="I26" s="224"/>
      <c r="L26" s="74"/>
    </row>
    <row r="27" spans="1:12" ht="30" customHeight="1">
      <c r="A27" s="37">
        <v>762</v>
      </c>
      <c r="B27" s="38" t="s">
        <v>218</v>
      </c>
      <c r="C27" s="43" t="s">
        <v>219</v>
      </c>
      <c r="D27" s="40" t="s">
        <v>62</v>
      </c>
      <c r="E27" s="41" t="s">
        <v>34</v>
      </c>
      <c r="F27" s="69">
        <v>3</v>
      </c>
      <c r="G27" s="295">
        <v>68.8</v>
      </c>
      <c r="H27" s="51" t="s">
        <v>63</v>
      </c>
      <c r="I27" s="224"/>
      <c r="L27" s="74"/>
    </row>
    <row r="28" spans="1:12" ht="30" customHeight="1">
      <c r="A28" s="37">
        <v>763</v>
      </c>
      <c r="B28" s="38" t="s">
        <v>216</v>
      </c>
      <c r="C28" s="40" t="s">
        <v>217</v>
      </c>
      <c r="D28" s="40" t="s">
        <v>62</v>
      </c>
      <c r="E28" s="41" t="s">
        <v>34</v>
      </c>
      <c r="F28" s="69">
        <v>17</v>
      </c>
      <c r="G28" s="295">
        <v>324.1</v>
      </c>
      <c r="H28" s="51" t="s">
        <v>63</v>
      </c>
      <c r="I28" s="224"/>
      <c r="L28" s="74"/>
    </row>
    <row r="29" spans="1:12" ht="30" customHeight="1">
      <c r="A29" s="37">
        <v>764</v>
      </c>
      <c r="B29" s="38" t="s">
        <v>64</v>
      </c>
      <c r="C29" s="40" t="s">
        <v>65</v>
      </c>
      <c r="D29" s="40" t="s">
        <v>62</v>
      </c>
      <c r="E29" s="41" t="s">
        <v>34</v>
      </c>
      <c r="F29" s="69">
        <v>350</v>
      </c>
      <c r="G29" s="295">
        <v>5985</v>
      </c>
      <c r="H29" s="51" t="s">
        <v>63</v>
      </c>
      <c r="I29" s="224"/>
      <c r="L29" s="74"/>
    </row>
    <row r="30" spans="1:12" ht="30" customHeight="1">
      <c r="A30" s="37">
        <v>765</v>
      </c>
      <c r="B30" s="38" t="s">
        <v>71</v>
      </c>
      <c r="C30" s="71" t="s">
        <v>72</v>
      </c>
      <c r="D30" s="40" t="s">
        <v>62</v>
      </c>
      <c r="E30" s="41" t="s">
        <v>34</v>
      </c>
      <c r="F30" s="69">
        <v>38</v>
      </c>
      <c r="G30" s="295">
        <v>601.8</v>
      </c>
      <c r="H30" s="51" t="s">
        <v>63</v>
      </c>
      <c r="I30" s="224"/>
      <c r="L30" s="74"/>
    </row>
    <row r="31" spans="1:12" ht="30" customHeight="1">
      <c r="A31" s="37">
        <v>766</v>
      </c>
      <c r="B31" s="38" t="s">
        <v>73</v>
      </c>
      <c r="C31" s="40" t="s">
        <v>74</v>
      </c>
      <c r="D31" s="40" t="s">
        <v>62</v>
      </c>
      <c r="E31" s="41" t="s">
        <v>34</v>
      </c>
      <c r="F31" s="69">
        <v>24</v>
      </c>
      <c r="G31" s="295">
        <v>561.8</v>
      </c>
      <c r="H31" s="51" t="s">
        <v>63</v>
      </c>
      <c r="I31" s="224"/>
      <c r="L31" s="74"/>
    </row>
    <row r="32" spans="1:12" ht="30" customHeight="1">
      <c r="A32" s="37">
        <v>767</v>
      </c>
      <c r="B32" s="38" t="s">
        <v>75</v>
      </c>
      <c r="C32" s="71" t="s">
        <v>76</v>
      </c>
      <c r="D32" s="40" t="s">
        <v>62</v>
      </c>
      <c r="E32" s="41" t="s">
        <v>77</v>
      </c>
      <c r="F32" s="69">
        <v>12</v>
      </c>
      <c r="G32" s="295">
        <v>893.4</v>
      </c>
      <c r="H32" s="51" t="s">
        <v>63</v>
      </c>
      <c r="I32" s="224"/>
      <c r="L32" s="74"/>
    </row>
    <row r="33" spans="1:12" ht="30" customHeight="1">
      <c r="A33" s="37">
        <v>768</v>
      </c>
      <c r="B33" s="38" t="s">
        <v>78</v>
      </c>
      <c r="C33" s="40" t="s">
        <v>79</v>
      </c>
      <c r="D33" s="40" t="s">
        <v>62</v>
      </c>
      <c r="E33" s="41" t="s">
        <v>34</v>
      </c>
      <c r="F33" s="69">
        <v>16</v>
      </c>
      <c r="G33" s="295">
        <v>4924.6</v>
      </c>
      <c r="H33" s="51" t="s">
        <v>63</v>
      </c>
      <c r="I33" s="224"/>
      <c r="L33" s="74"/>
    </row>
    <row r="34" spans="1:12" ht="30" customHeight="1">
      <c r="A34" s="37">
        <v>769</v>
      </c>
      <c r="B34" s="38" t="s">
        <v>271</v>
      </c>
      <c r="C34" s="40" t="s">
        <v>272</v>
      </c>
      <c r="D34" s="40" t="s">
        <v>62</v>
      </c>
      <c r="E34" s="41" t="s">
        <v>34</v>
      </c>
      <c r="F34" s="69">
        <v>1.25</v>
      </c>
      <c r="G34" s="295">
        <v>140.43</v>
      </c>
      <c r="H34" s="51" t="s">
        <v>63</v>
      </c>
      <c r="I34" s="224"/>
      <c r="L34" s="74"/>
    </row>
    <row r="35" spans="1:12" ht="45" customHeight="1">
      <c r="A35" s="37">
        <v>770</v>
      </c>
      <c r="B35" s="38" t="s">
        <v>80</v>
      </c>
      <c r="C35" s="40" t="s">
        <v>81</v>
      </c>
      <c r="D35" s="40" t="s">
        <v>62</v>
      </c>
      <c r="E35" s="41" t="s">
        <v>82</v>
      </c>
      <c r="F35" s="69">
        <f>2.7+5.4</f>
        <v>8.100000000000001</v>
      </c>
      <c r="G35" s="295">
        <v>331.02</v>
      </c>
      <c r="H35" s="51" t="s">
        <v>63</v>
      </c>
      <c r="I35" s="224"/>
      <c r="L35" s="74"/>
    </row>
    <row r="36" spans="1:12" ht="30" customHeight="1">
      <c r="A36" s="37">
        <v>771</v>
      </c>
      <c r="B36" s="38" t="s">
        <v>83</v>
      </c>
      <c r="C36" s="40" t="s">
        <v>72</v>
      </c>
      <c r="D36" s="40" t="s">
        <v>62</v>
      </c>
      <c r="E36" s="41" t="s">
        <v>34</v>
      </c>
      <c r="F36" s="69">
        <v>44</v>
      </c>
      <c r="G36" s="295">
        <v>1136</v>
      </c>
      <c r="H36" s="51" t="s">
        <v>63</v>
      </c>
      <c r="I36" s="224"/>
      <c r="L36" s="74"/>
    </row>
    <row r="37" spans="1:12" ht="30" customHeight="1">
      <c r="A37" s="37">
        <v>772</v>
      </c>
      <c r="B37" s="38" t="s">
        <v>220</v>
      </c>
      <c r="C37" s="40" t="s">
        <v>221</v>
      </c>
      <c r="D37" s="40" t="s">
        <v>62</v>
      </c>
      <c r="E37" s="41" t="s">
        <v>34</v>
      </c>
      <c r="F37" s="69">
        <v>25</v>
      </c>
      <c r="G37" s="295">
        <v>329</v>
      </c>
      <c r="H37" s="51" t="s">
        <v>63</v>
      </c>
      <c r="I37" s="224"/>
      <c r="L37" s="74"/>
    </row>
    <row r="38" spans="1:12" ht="44.25" customHeight="1">
      <c r="A38" s="37">
        <v>773</v>
      </c>
      <c r="B38" s="38" t="s">
        <v>84</v>
      </c>
      <c r="C38" s="40" t="s">
        <v>85</v>
      </c>
      <c r="D38" s="40" t="s">
        <v>62</v>
      </c>
      <c r="E38" s="41" t="s">
        <v>34</v>
      </c>
      <c r="F38" s="69">
        <f>9.75+9.75</f>
        <v>19.5</v>
      </c>
      <c r="G38" s="295">
        <v>2290.28</v>
      </c>
      <c r="H38" s="51" t="s">
        <v>63</v>
      </c>
      <c r="I38" s="224"/>
      <c r="L38" s="74"/>
    </row>
    <row r="39" spans="1:12" ht="30" customHeight="1">
      <c r="A39" s="37">
        <v>774</v>
      </c>
      <c r="B39" s="344" t="s">
        <v>86</v>
      </c>
      <c r="C39" s="345" t="s">
        <v>87</v>
      </c>
      <c r="D39" s="40" t="s">
        <v>62</v>
      </c>
      <c r="E39" s="41" t="s">
        <v>34</v>
      </c>
      <c r="F39" s="69">
        <f>41</f>
        <v>41</v>
      </c>
      <c r="G39" s="295">
        <v>5838.72</v>
      </c>
      <c r="H39" s="51" t="s">
        <v>63</v>
      </c>
      <c r="I39" s="224"/>
      <c r="L39" s="74"/>
    </row>
    <row r="40" spans="1:12" ht="30" customHeight="1">
      <c r="A40" s="37">
        <v>775</v>
      </c>
      <c r="B40" s="38" t="s">
        <v>88</v>
      </c>
      <c r="C40" s="40" t="s">
        <v>85</v>
      </c>
      <c r="D40" s="40" t="s">
        <v>62</v>
      </c>
      <c r="E40" s="41" t="s">
        <v>34</v>
      </c>
      <c r="F40" s="69">
        <v>12</v>
      </c>
      <c r="G40" s="295">
        <v>1487.4</v>
      </c>
      <c r="H40" s="51" t="s">
        <v>63</v>
      </c>
      <c r="I40" s="224"/>
      <c r="L40" s="74"/>
    </row>
    <row r="41" spans="1:12" ht="30" customHeight="1">
      <c r="A41" s="37">
        <v>776</v>
      </c>
      <c r="B41" s="38" t="s">
        <v>89</v>
      </c>
      <c r="C41" s="40" t="s">
        <v>90</v>
      </c>
      <c r="D41" s="40" t="s">
        <v>62</v>
      </c>
      <c r="E41" s="41" t="s">
        <v>34</v>
      </c>
      <c r="F41" s="69">
        <v>32</v>
      </c>
      <c r="G41" s="295">
        <v>1586</v>
      </c>
      <c r="H41" s="51" t="s">
        <v>63</v>
      </c>
      <c r="I41" s="224"/>
      <c r="L41" s="74"/>
    </row>
    <row r="42" spans="1:12" ht="30" customHeight="1">
      <c r="A42" s="37">
        <v>777</v>
      </c>
      <c r="B42" s="38" t="s">
        <v>91</v>
      </c>
      <c r="C42" s="40" t="s">
        <v>273</v>
      </c>
      <c r="D42" s="40" t="s">
        <v>62</v>
      </c>
      <c r="E42" s="41" t="s">
        <v>34</v>
      </c>
      <c r="F42" s="69">
        <v>42</v>
      </c>
      <c r="G42" s="295">
        <v>7020.7</v>
      </c>
      <c r="H42" s="51" t="s">
        <v>63</v>
      </c>
      <c r="I42" s="224"/>
      <c r="L42" s="74"/>
    </row>
    <row r="43" spans="1:12" ht="30" customHeight="1">
      <c r="A43" s="37">
        <v>778</v>
      </c>
      <c r="B43" s="38" t="s">
        <v>222</v>
      </c>
      <c r="C43" s="40" t="s">
        <v>223</v>
      </c>
      <c r="D43" s="40" t="s">
        <v>62</v>
      </c>
      <c r="E43" s="41" t="s">
        <v>34</v>
      </c>
      <c r="F43" s="69">
        <v>26</v>
      </c>
      <c r="G43" s="295">
        <v>505.6</v>
      </c>
      <c r="H43" s="51" t="s">
        <v>63</v>
      </c>
      <c r="I43" s="224"/>
      <c r="L43" s="74"/>
    </row>
    <row r="44" spans="1:12" ht="30" customHeight="1">
      <c r="A44" s="37">
        <v>779</v>
      </c>
      <c r="B44" s="38" t="s">
        <v>274</v>
      </c>
      <c r="C44" s="40" t="s">
        <v>275</v>
      </c>
      <c r="D44" s="40" t="s">
        <v>62</v>
      </c>
      <c r="E44" s="41" t="s">
        <v>34</v>
      </c>
      <c r="F44" s="69">
        <v>40</v>
      </c>
      <c r="G44" s="295">
        <v>1518</v>
      </c>
      <c r="H44" s="51" t="s">
        <v>63</v>
      </c>
      <c r="I44" s="224"/>
      <c r="L44" s="74"/>
    </row>
    <row r="45" spans="1:12" ht="30" customHeight="1">
      <c r="A45" s="37">
        <v>780</v>
      </c>
      <c r="B45" s="38" t="s">
        <v>93</v>
      </c>
      <c r="C45" s="40" t="s">
        <v>94</v>
      </c>
      <c r="D45" s="40" t="s">
        <v>62</v>
      </c>
      <c r="E45" s="41" t="s">
        <v>34</v>
      </c>
      <c r="F45" s="69">
        <f>1.52+12.16</f>
        <v>13.68</v>
      </c>
      <c r="G45" s="295">
        <v>1776.73</v>
      </c>
      <c r="H45" s="51" t="s">
        <v>63</v>
      </c>
      <c r="I45" s="224"/>
      <c r="L45" s="74"/>
    </row>
    <row r="46" spans="1:12" ht="30" customHeight="1">
      <c r="A46" s="37">
        <v>781</v>
      </c>
      <c r="B46" s="38" t="s">
        <v>224</v>
      </c>
      <c r="C46" s="40" t="s">
        <v>225</v>
      </c>
      <c r="D46" s="40" t="s">
        <v>62</v>
      </c>
      <c r="E46" s="41" t="s">
        <v>34</v>
      </c>
      <c r="F46" s="69">
        <v>9</v>
      </c>
      <c r="G46" s="295">
        <v>113.4</v>
      </c>
      <c r="H46" s="51" t="s">
        <v>63</v>
      </c>
      <c r="I46" s="224"/>
      <c r="L46" s="74"/>
    </row>
    <row r="47" spans="1:12" ht="30" customHeight="1">
      <c r="A47" s="37">
        <v>782</v>
      </c>
      <c r="B47" s="40" t="s">
        <v>226</v>
      </c>
      <c r="C47" s="40" t="s">
        <v>227</v>
      </c>
      <c r="D47" s="40" t="s">
        <v>62</v>
      </c>
      <c r="E47" s="41" t="s">
        <v>34</v>
      </c>
      <c r="F47" s="69">
        <v>11</v>
      </c>
      <c r="G47" s="295">
        <v>1494.6</v>
      </c>
      <c r="H47" s="51" t="s">
        <v>63</v>
      </c>
      <c r="I47" s="224"/>
      <c r="L47" s="74"/>
    </row>
    <row r="48" spans="1:12" ht="30" customHeight="1">
      <c r="A48" s="37">
        <v>783</v>
      </c>
      <c r="B48" s="40" t="s">
        <v>276</v>
      </c>
      <c r="C48" s="40" t="s">
        <v>277</v>
      </c>
      <c r="D48" s="40" t="s">
        <v>62</v>
      </c>
      <c r="E48" s="41" t="s">
        <v>34</v>
      </c>
      <c r="F48" s="69">
        <v>7</v>
      </c>
      <c r="G48" s="295">
        <v>1313.4</v>
      </c>
      <c r="H48" s="51" t="s">
        <v>63</v>
      </c>
      <c r="I48" s="224"/>
      <c r="L48" s="74"/>
    </row>
    <row r="49" spans="1:12" ht="30" customHeight="1">
      <c r="A49" s="37">
        <v>784</v>
      </c>
      <c r="B49" s="40" t="s">
        <v>95</v>
      </c>
      <c r="C49" s="40" t="s">
        <v>96</v>
      </c>
      <c r="D49" s="40" t="s">
        <v>62</v>
      </c>
      <c r="E49" s="41" t="s">
        <v>34</v>
      </c>
      <c r="F49" s="69">
        <v>62</v>
      </c>
      <c r="G49" s="295">
        <v>12990.7</v>
      </c>
      <c r="H49" s="51" t="s">
        <v>63</v>
      </c>
      <c r="I49" s="224"/>
      <c r="L49" s="74"/>
    </row>
    <row r="50" spans="1:12" ht="30" customHeight="1">
      <c r="A50" s="37">
        <v>785</v>
      </c>
      <c r="B50" s="40" t="s">
        <v>97</v>
      </c>
      <c r="C50" s="345" t="s">
        <v>87</v>
      </c>
      <c r="D50" s="40" t="s">
        <v>62</v>
      </c>
      <c r="E50" s="41" t="s">
        <v>34</v>
      </c>
      <c r="F50" s="69">
        <v>29</v>
      </c>
      <c r="G50" s="295">
        <v>6299.5</v>
      </c>
      <c r="H50" s="51" t="s">
        <v>63</v>
      </c>
      <c r="I50" s="224"/>
      <c r="L50" s="74"/>
    </row>
    <row r="51" spans="1:12" ht="45" customHeight="1">
      <c r="A51" s="37">
        <v>786</v>
      </c>
      <c r="B51" s="54" t="s">
        <v>98</v>
      </c>
      <c r="C51" s="40" t="s">
        <v>61</v>
      </c>
      <c r="D51" s="40" t="s">
        <v>62</v>
      </c>
      <c r="E51" s="41" t="s">
        <v>25</v>
      </c>
      <c r="F51" s="69">
        <v>255</v>
      </c>
      <c r="G51" s="295">
        <v>3253.61</v>
      </c>
      <c r="H51" s="51" t="s">
        <v>63</v>
      </c>
      <c r="I51" s="224"/>
      <c r="L51" s="74"/>
    </row>
    <row r="52" spans="1:12" ht="30" customHeight="1">
      <c r="A52" s="37">
        <v>787</v>
      </c>
      <c r="B52" s="40" t="s">
        <v>99</v>
      </c>
      <c r="C52" s="40" t="s">
        <v>100</v>
      </c>
      <c r="D52" s="40" t="s">
        <v>62</v>
      </c>
      <c r="E52" s="41" t="s">
        <v>34</v>
      </c>
      <c r="F52" s="69">
        <v>13</v>
      </c>
      <c r="G52" s="295">
        <v>3815.98</v>
      </c>
      <c r="H52" s="51" t="s">
        <v>63</v>
      </c>
      <c r="I52" s="224"/>
      <c r="L52" s="74"/>
    </row>
    <row r="53" spans="1:12" ht="30" customHeight="1">
      <c r="A53" s="37">
        <v>788</v>
      </c>
      <c r="B53" s="40" t="s">
        <v>228</v>
      </c>
      <c r="C53" s="40" t="s">
        <v>229</v>
      </c>
      <c r="D53" s="40" t="s">
        <v>62</v>
      </c>
      <c r="E53" s="41" t="s">
        <v>34</v>
      </c>
      <c r="F53" s="69">
        <v>40</v>
      </c>
      <c r="G53" s="295">
        <v>1722</v>
      </c>
      <c r="H53" s="51" t="s">
        <v>63</v>
      </c>
      <c r="I53" s="224"/>
      <c r="L53" s="74"/>
    </row>
    <row r="54" spans="1:12" ht="30" customHeight="1">
      <c r="A54" s="37">
        <v>789</v>
      </c>
      <c r="B54" s="40" t="s">
        <v>103</v>
      </c>
      <c r="C54" s="40" t="s">
        <v>104</v>
      </c>
      <c r="D54" s="40" t="s">
        <v>62</v>
      </c>
      <c r="E54" s="41" t="s">
        <v>25</v>
      </c>
      <c r="F54" s="69">
        <v>930</v>
      </c>
      <c r="G54" s="295">
        <v>4315.2</v>
      </c>
      <c r="H54" s="51" t="s">
        <v>63</v>
      </c>
      <c r="I54" s="224"/>
      <c r="L54" s="74"/>
    </row>
    <row r="55" spans="1:12" ht="30" customHeight="1">
      <c r="A55" s="37">
        <v>790</v>
      </c>
      <c r="B55" s="40" t="s">
        <v>230</v>
      </c>
      <c r="C55" s="40" t="s">
        <v>231</v>
      </c>
      <c r="D55" s="40" t="s">
        <v>62</v>
      </c>
      <c r="E55" s="41" t="s">
        <v>77</v>
      </c>
      <c r="F55" s="69">
        <v>16</v>
      </c>
      <c r="G55" s="295">
        <v>952.6</v>
      </c>
      <c r="H55" s="51" t="s">
        <v>63</v>
      </c>
      <c r="I55" s="224"/>
      <c r="L55" s="74"/>
    </row>
    <row r="56" spans="1:12" ht="30" customHeight="1">
      <c r="A56" s="37">
        <v>791</v>
      </c>
      <c r="B56" s="38" t="s">
        <v>232</v>
      </c>
      <c r="C56" s="40" t="s">
        <v>85</v>
      </c>
      <c r="D56" s="40" t="s">
        <v>62</v>
      </c>
      <c r="E56" s="41" t="s">
        <v>34</v>
      </c>
      <c r="F56" s="69">
        <f>3.9+9.1</f>
        <v>13</v>
      </c>
      <c r="G56" s="295">
        <v>1530.75</v>
      </c>
      <c r="H56" s="51" t="s">
        <v>63</v>
      </c>
      <c r="I56" s="224"/>
      <c r="L56" s="74"/>
    </row>
    <row r="57" spans="1:12" ht="30" customHeight="1">
      <c r="A57" s="37">
        <v>792</v>
      </c>
      <c r="B57" s="38" t="s">
        <v>105</v>
      </c>
      <c r="C57" s="40" t="s">
        <v>70</v>
      </c>
      <c r="D57" s="40" t="s">
        <v>62</v>
      </c>
      <c r="E57" s="41" t="s">
        <v>34</v>
      </c>
      <c r="F57" s="69">
        <v>30</v>
      </c>
      <c r="G57" s="295">
        <v>997</v>
      </c>
      <c r="H57" s="51" t="s">
        <v>63</v>
      </c>
      <c r="I57" s="224"/>
      <c r="L57" s="74"/>
    </row>
    <row r="58" spans="1:12" ht="30" customHeight="1">
      <c r="A58" s="37">
        <v>793</v>
      </c>
      <c r="B58" s="38" t="s">
        <v>278</v>
      </c>
      <c r="C58" s="40" t="s">
        <v>70</v>
      </c>
      <c r="D58" s="40" t="s">
        <v>62</v>
      </c>
      <c r="E58" s="41" t="s">
        <v>34</v>
      </c>
      <c r="F58" s="69">
        <v>5</v>
      </c>
      <c r="G58" s="295">
        <v>90.5</v>
      </c>
      <c r="H58" s="51" t="s">
        <v>63</v>
      </c>
      <c r="I58" s="224"/>
      <c r="L58" s="74"/>
    </row>
    <row r="59" spans="1:12" ht="45" customHeight="1">
      <c r="A59" s="37">
        <v>794</v>
      </c>
      <c r="B59" s="38" t="s">
        <v>60</v>
      </c>
      <c r="C59" s="40" t="s">
        <v>61</v>
      </c>
      <c r="D59" s="40" t="s">
        <v>62</v>
      </c>
      <c r="E59" s="41" t="s">
        <v>34</v>
      </c>
      <c r="F59" s="69">
        <v>3.6</v>
      </c>
      <c r="G59" s="295">
        <v>156.96</v>
      </c>
      <c r="H59" s="51" t="s">
        <v>63</v>
      </c>
      <c r="I59" s="224"/>
      <c r="L59" s="74"/>
    </row>
    <row r="60" spans="1:12" s="10" customFormat="1" ht="30" customHeight="1">
      <c r="A60" s="296"/>
      <c r="B60" s="260" t="s">
        <v>106</v>
      </c>
      <c r="C60" s="261"/>
      <c r="D60" s="262"/>
      <c r="E60" s="263"/>
      <c r="F60" s="261"/>
      <c r="G60" s="297">
        <f>SUM(G25:G59)</f>
        <v>76560.00000000001</v>
      </c>
      <c r="H60" s="265"/>
      <c r="I60" s="224"/>
      <c r="L60" s="267"/>
    </row>
    <row r="61" spans="1:12" ht="30" customHeight="1">
      <c r="A61" s="37">
        <v>795</v>
      </c>
      <c r="B61" s="38" t="s">
        <v>279</v>
      </c>
      <c r="C61" s="40" t="s">
        <v>116</v>
      </c>
      <c r="D61" s="40" t="s">
        <v>109</v>
      </c>
      <c r="E61" s="41" t="s">
        <v>113</v>
      </c>
      <c r="F61" s="50" t="s">
        <v>117</v>
      </c>
      <c r="G61" s="295">
        <v>492</v>
      </c>
      <c r="H61" s="137" t="s">
        <v>63</v>
      </c>
      <c r="I61" s="224"/>
      <c r="K61" s="12">
        <f>154</f>
        <v>154</v>
      </c>
      <c r="L61" s="74">
        <f>G61-K61</f>
        <v>338</v>
      </c>
    </row>
    <row r="62" spans="1:12" ht="30" customHeight="1">
      <c r="A62" s="37">
        <v>796</v>
      </c>
      <c r="B62" s="38" t="s">
        <v>236</v>
      </c>
      <c r="C62" s="40" t="s">
        <v>119</v>
      </c>
      <c r="D62" s="40" t="s">
        <v>109</v>
      </c>
      <c r="E62" s="41" t="s">
        <v>120</v>
      </c>
      <c r="F62" s="41" t="s">
        <v>280</v>
      </c>
      <c r="G62" s="295">
        <v>3624.04</v>
      </c>
      <c r="H62" s="137" t="s">
        <v>63</v>
      </c>
      <c r="I62" s="224"/>
      <c r="K62" s="12">
        <f>1164.69</f>
        <v>1164.69</v>
      </c>
      <c r="L62" s="74">
        <f>G62-K62</f>
        <v>2459.35</v>
      </c>
    </row>
    <row r="63" spans="1:12" ht="30" customHeight="1">
      <c r="A63" s="37">
        <v>797</v>
      </c>
      <c r="B63" s="38" t="s">
        <v>130</v>
      </c>
      <c r="C63" s="40" t="s">
        <v>131</v>
      </c>
      <c r="D63" s="40" t="s">
        <v>109</v>
      </c>
      <c r="E63" s="41" t="s">
        <v>25</v>
      </c>
      <c r="F63" s="50">
        <v>5</v>
      </c>
      <c r="G63" s="295">
        <v>1400</v>
      </c>
      <c r="H63" s="137" t="s">
        <v>19</v>
      </c>
      <c r="I63" s="224"/>
      <c r="L63" s="74">
        <f>G63-K63</f>
        <v>1400</v>
      </c>
    </row>
    <row r="64" spans="1:12" ht="30" customHeight="1">
      <c r="A64" s="37">
        <v>798</v>
      </c>
      <c r="B64" s="38" t="s">
        <v>130</v>
      </c>
      <c r="C64" s="40" t="s">
        <v>131</v>
      </c>
      <c r="D64" s="40" t="s">
        <v>109</v>
      </c>
      <c r="E64" s="41" t="s">
        <v>25</v>
      </c>
      <c r="F64" s="50">
        <v>4</v>
      </c>
      <c r="G64" s="295">
        <v>1120</v>
      </c>
      <c r="H64" s="137" t="s">
        <v>132</v>
      </c>
      <c r="I64" s="224"/>
      <c r="L64" s="74">
        <f>G64-K64</f>
        <v>1120</v>
      </c>
    </row>
    <row r="65" spans="1:12" ht="30" customHeight="1">
      <c r="A65" s="37">
        <v>799</v>
      </c>
      <c r="B65" s="98" t="s">
        <v>281</v>
      </c>
      <c r="C65" s="99" t="s">
        <v>282</v>
      </c>
      <c r="D65" s="40" t="s">
        <v>109</v>
      </c>
      <c r="E65" s="41" t="s">
        <v>283</v>
      </c>
      <c r="F65" s="41">
        <v>3</v>
      </c>
      <c r="G65" s="295">
        <v>1413</v>
      </c>
      <c r="H65" s="137" t="s">
        <v>63</v>
      </c>
      <c r="I65" s="224"/>
      <c r="K65" s="12">
        <f>470.96</f>
        <v>470.96</v>
      </c>
      <c r="L65" s="74">
        <f>G65-K65</f>
        <v>942.04</v>
      </c>
    </row>
    <row r="66" spans="1:12" ht="30" customHeight="1">
      <c r="A66" s="37">
        <v>800</v>
      </c>
      <c r="B66" s="98" t="s">
        <v>284</v>
      </c>
      <c r="C66" s="52" t="s">
        <v>239</v>
      </c>
      <c r="D66" s="40" t="s">
        <v>109</v>
      </c>
      <c r="E66" s="41" t="s">
        <v>285</v>
      </c>
      <c r="F66" s="41">
        <v>824</v>
      </c>
      <c r="G66" s="295">
        <v>2125.92</v>
      </c>
      <c r="H66" s="137" t="s">
        <v>63</v>
      </c>
      <c r="I66" s="224"/>
      <c r="L66" s="74"/>
    </row>
    <row r="67" spans="1:12" ht="30" customHeight="1">
      <c r="A67" s="37">
        <v>801</v>
      </c>
      <c r="B67" s="38" t="s">
        <v>286</v>
      </c>
      <c r="C67" s="52" t="s">
        <v>239</v>
      </c>
      <c r="D67" s="40" t="s">
        <v>109</v>
      </c>
      <c r="E67" s="41" t="s">
        <v>285</v>
      </c>
      <c r="F67" s="41">
        <v>774</v>
      </c>
      <c r="G67" s="295">
        <v>2291.04</v>
      </c>
      <c r="H67" s="40" t="s">
        <v>63</v>
      </c>
      <c r="I67" s="224"/>
      <c r="L67" s="74">
        <f>G67-K67</f>
        <v>2291.04</v>
      </c>
    </row>
    <row r="68" spans="1:12" s="10" customFormat="1" ht="30" customHeight="1">
      <c r="A68" s="296"/>
      <c r="B68" s="260" t="s">
        <v>136</v>
      </c>
      <c r="C68" s="261"/>
      <c r="D68" s="262"/>
      <c r="E68" s="263"/>
      <c r="F68" s="263"/>
      <c r="G68" s="297">
        <f>SUM(G61:G67)</f>
        <v>12466</v>
      </c>
      <c r="H68" s="265"/>
      <c r="I68" s="224"/>
      <c r="K68" s="267">
        <f>SUM(K61:K67)</f>
        <v>1789.65</v>
      </c>
      <c r="L68" s="267" t="e">
        <f>SUM(#REF!)</f>
        <v>#REF!</v>
      </c>
    </row>
    <row r="69" spans="1:11" ht="30" customHeight="1">
      <c r="A69" s="37">
        <v>802</v>
      </c>
      <c r="B69" s="38" t="s">
        <v>137</v>
      </c>
      <c r="C69" s="52" t="s">
        <v>138</v>
      </c>
      <c r="D69" s="40" t="s">
        <v>139</v>
      </c>
      <c r="E69" s="41" t="s">
        <v>140</v>
      </c>
      <c r="F69" s="53">
        <f>G69/67.76</f>
        <v>3493.358913813459</v>
      </c>
      <c r="G69" s="295">
        <v>236710</v>
      </c>
      <c r="H69" s="137" t="s">
        <v>63</v>
      </c>
      <c r="I69" s="224"/>
      <c r="K69" s="12">
        <v>97950</v>
      </c>
    </row>
    <row r="70" spans="1:9" s="10" customFormat="1" ht="30" customHeight="1">
      <c r="A70" s="296"/>
      <c r="B70" s="260" t="s">
        <v>141</v>
      </c>
      <c r="C70" s="261"/>
      <c r="D70" s="262"/>
      <c r="E70" s="263"/>
      <c r="F70" s="263"/>
      <c r="G70" s="297">
        <f>SUM(G69:G69)</f>
        <v>236710</v>
      </c>
      <c r="H70" s="265"/>
      <c r="I70" s="224"/>
    </row>
    <row r="71" spans="1:9" ht="30" customHeight="1">
      <c r="A71" s="37">
        <v>803</v>
      </c>
      <c r="B71" s="38" t="s">
        <v>244</v>
      </c>
      <c r="C71" s="54" t="s">
        <v>245</v>
      </c>
      <c r="D71" s="40" t="s">
        <v>246</v>
      </c>
      <c r="E71" s="41" t="s">
        <v>110</v>
      </c>
      <c r="F71" s="56">
        <f>G71/12.72</f>
        <v>37.73584905660377</v>
      </c>
      <c r="G71" s="295">
        <v>480</v>
      </c>
      <c r="H71" s="137" t="s">
        <v>63</v>
      </c>
      <c r="I71" s="224"/>
    </row>
    <row r="72" spans="1:9" s="10" customFormat="1" ht="30" customHeight="1">
      <c r="A72" s="296"/>
      <c r="B72" s="260" t="s">
        <v>247</v>
      </c>
      <c r="C72" s="261"/>
      <c r="D72" s="262"/>
      <c r="E72" s="263"/>
      <c r="F72" s="263"/>
      <c r="G72" s="297">
        <f>G71</f>
        <v>480</v>
      </c>
      <c r="H72" s="265"/>
      <c r="I72" s="224"/>
    </row>
    <row r="73" spans="1:11" ht="30" customHeight="1">
      <c r="A73" s="37">
        <v>804</v>
      </c>
      <c r="B73" s="38" t="s">
        <v>142</v>
      </c>
      <c r="C73" s="54" t="s">
        <v>143</v>
      </c>
      <c r="D73" s="40" t="s">
        <v>144</v>
      </c>
      <c r="E73" s="41" t="s">
        <v>145</v>
      </c>
      <c r="F73" s="56">
        <f>G73/4.14243</f>
        <v>2955.753024191115</v>
      </c>
      <c r="G73" s="295">
        <v>12244</v>
      </c>
      <c r="H73" s="137" t="s">
        <v>63</v>
      </c>
      <c r="I73" s="224"/>
      <c r="K73" s="12">
        <f>3872.63+938.54</f>
        <v>4811.17</v>
      </c>
    </row>
    <row r="74" spans="1:9" s="10" customFormat="1" ht="30" customHeight="1">
      <c r="A74" s="296"/>
      <c r="B74" s="260" t="s">
        <v>146</v>
      </c>
      <c r="C74" s="261"/>
      <c r="D74" s="262"/>
      <c r="E74" s="263"/>
      <c r="F74" s="263"/>
      <c r="G74" s="297">
        <f>G73</f>
        <v>12244</v>
      </c>
      <c r="H74" s="265"/>
      <c r="I74" s="224"/>
    </row>
    <row r="75" spans="1:9" ht="22.5" customHeight="1">
      <c r="A75" s="19"/>
      <c r="B75" s="208" t="s">
        <v>151</v>
      </c>
      <c r="C75" s="167"/>
      <c r="D75" s="168"/>
      <c r="E75" s="207"/>
      <c r="F75" s="170"/>
      <c r="G75" s="304"/>
      <c r="H75" s="171"/>
      <c r="I75" s="223"/>
    </row>
    <row r="76" spans="1:9" ht="22.5" customHeight="1">
      <c r="A76" s="19"/>
      <c r="B76" s="106" t="s">
        <v>152</v>
      </c>
      <c r="C76" s="107"/>
      <c r="D76" s="108" t="s">
        <v>153</v>
      </c>
      <c r="E76" s="109"/>
      <c r="F76" s="109"/>
      <c r="G76" s="304"/>
      <c r="H76" s="171"/>
      <c r="I76" s="223"/>
    </row>
    <row r="77" spans="1:9" s="8" customFormat="1" ht="22.5" customHeight="1">
      <c r="A77" s="19"/>
      <c r="B77" s="111"/>
      <c r="C77" s="9"/>
      <c r="D77" s="112" t="s">
        <v>154</v>
      </c>
      <c r="E77" s="113" t="s">
        <v>155</v>
      </c>
      <c r="F77" s="114"/>
      <c r="G77" s="304"/>
      <c r="H77" s="171"/>
      <c r="I77" s="223"/>
    </row>
    <row r="78" spans="1:9" s="8" customFormat="1" ht="22.5" customHeight="1">
      <c r="A78" s="19"/>
      <c r="B78" s="115" t="s">
        <v>156</v>
      </c>
      <c r="C78" s="116"/>
      <c r="D78" s="108" t="s">
        <v>157</v>
      </c>
      <c r="E78" s="109"/>
      <c r="F78" s="109"/>
      <c r="G78" s="304"/>
      <c r="H78" s="171"/>
      <c r="I78" s="223"/>
    </row>
    <row r="79" spans="1:9" ht="22.5" customHeight="1">
      <c r="A79" s="19"/>
      <c r="B79" s="111"/>
      <c r="C79" s="9"/>
      <c r="D79" s="112" t="s">
        <v>154</v>
      </c>
      <c r="E79" s="113"/>
      <c r="F79" s="114"/>
      <c r="G79" s="304"/>
      <c r="H79" s="8"/>
      <c r="I79" s="141"/>
    </row>
    <row r="80" spans="1:9" s="8" customFormat="1" ht="22.5" customHeight="1">
      <c r="A80" s="19"/>
      <c r="B80" s="115" t="s">
        <v>158</v>
      </c>
      <c r="C80" s="9"/>
      <c r="D80" s="9"/>
      <c r="E80" s="9"/>
      <c r="F80" s="9"/>
      <c r="G80" s="304"/>
      <c r="H80" s="171"/>
      <c r="I80" s="223"/>
    </row>
    <row r="81" spans="1:9" s="2" customFormat="1" ht="30" customHeight="1">
      <c r="A81" s="169"/>
      <c r="B81" s="229" t="s">
        <v>159</v>
      </c>
      <c r="C81" s="167"/>
      <c r="D81" s="291" t="s">
        <v>160</v>
      </c>
      <c r="E81" s="229"/>
      <c r="F81" s="170"/>
      <c r="G81" s="307"/>
      <c r="H81" s="171"/>
      <c r="I81" s="326"/>
    </row>
    <row r="82" spans="1:9" ht="22.5" customHeight="1">
      <c r="A82" s="19"/>
      <c r="B82" s="230" t="s">
        <v>161</v>
      </c>
      <c r="C82" s="167"/>
      <c r="D82" s="168"/>
      <c r="E82" s="207"/>
      <c r="F82" s="170"/>
      <c r="G82" s="304"/>
      <c r="H82" s="171"/>
      <c r="I82" s="223"/>
    </row>
  </sheetData>
  <sheetProtection/>
  <mergeCells count="18">
    <mergeCell ref="F1:G1"/>
    <mergeCell ref="A2:I2"/>
    <mergeCell ref="B24:C24"/>
    <mergeCell ref="B60:C60"/>
    <mergeCell ref="B68:C68"/>
    <mergeCell ref="B70:C70"/>
    <mergeCell ref="B72:C72"/>
    <mergeCell ref="B74:C7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74"/>
  </mergeCells>
  <hyperlinks>
    <hyperlink ref="C12" r:id="rId1" display="20.41.3; ДК 016:2010"/>
    <hyperlink ref="C19" r:id="rId2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8"/>
  <sheetViews>
    <sheetView view="pageBreakPreview" zoomScale="90" zoomScaleNormal="90" zoomScaleSheetLayoutView="90" workbookViewId="0" topLeftCell="A13">
      <selection activeCell="B20" sqref="B20:C45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32.25" customHeight="1">
      <c r="A2" s="317" t="s">
        <v>287</v>
      </c>
      <c r="B2" s="317"/>
      <c r="C2" s="317"/>
      <c r="D2" s="317"/>
      <c r="E2" s="317"/>
      <c r="F2" s="317"/>
      <c r="G2" s="317"/>
      <c r="H2" s="317"/>
      <c r="I2" s="317"/>
    </row>
    <row r="3" spans="1:9" s="7" customFormat="1" ht="29.25" customHeight="1" hidden="1">
      <c r="A3" s="35" t="s">
        <v>288</v>
      </c>
      <c r="B3" s="173"/>
      <c r="C3" s="173"/>
      <c r="D3" s="173"/>
      <c r="E3" s="173"/>
      <c r="F3" s="173"/>
      <c r="G3" s="173"/>
      <c r="H3" s="173"/>
      <c r="I3" s="173"/>
    </row>
    <row r="4" spans="3:9" ht="15" customHeight="1">
      <c r="C4" s="124"/>
      <c r="D4" s="268" t="s">
        <v>4</v>
      </c>
      <c r="E4" s="124"/>
      <c r="F4" s="124"/>
      <c r="G4" s="3"/>
      <c r="H4" s="16"/>
      <c r="I4" s="16"/>
    </row>
    <row r="5" ht="15" customHeight="1"/>
    <row r="6" spans="1:11" ht="15.75" customHeight="1">
      <c r="A6" s="26" t="s">
        <v>5</v>
      </c>
      <c r="B6" s="27" t="s">
        <v>6</v>
      </c>
      <c r="C6" s="28" t="s">
        <v>7</v>
      </c>
      <c r="D6" s="28" t="s">
        <v>249</v>
      </c>
      <c r="E6" s="28" t="s">
        <v>9</v>
      </c>
      <c r="F6" s="28" t="s">
        <v>10</v>
      </c>
      <c r="G6" s="28" t="s">
        <v>250</v>
      </c>
      <c r="H6" s="28" t="s">
        <v>251</v>
      </c>
      <c r="I6" s="28" t="s">
        <v>13</v>
      </c>
      <c r="J6" s="71"/>
      <c r="K6" s="71"/>
    </row>
    <row r="7" spans="1:9" ht="31.5" customHeight="1">
      <c r="A7" s="29"/>
      <c r="B7" s="30"/>
      <c r="C7" s="31"/>
      <c r="D7" s="31"/>
      <c r="E7" s="31"/>
      <c r="F7" s="31"/>
      <c r="G7" s="31"/>
      <c r="H7" s="31"/>
      <c r="I7" s="31"/>
    </row>
    <row r="8" spans="1:9" ht="37.5" customHeight="1">
      <c r="A8" s="32"/>
      <c r="B8" s="33"/>
      <c r="C8" s="34"/>
      <c r="D8" s="34"/>
      <c r="E8" s="34"/>
      <c r="F8" s="34"/>
      <c r="G8" s="34"/>
      <c r="H8" s="34"/>
      <c r="I8" s="34"/>
    </row>
    <row r="9" spans="1:9" ht="20.25" customHeight="1">
      <c r="A9" s="32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72">
        <v>9</v>
      </c>
    </row>
    <row r="10" spans="1:12" s="11" customFormat="1" ht="30" customHeight="1">
      <c r="A10" s="269">
        <v>700</v>
      </c>
      <c r="B10" s="270" t="s">
        <v>15</v>
      </c>
      <c r="C10" s="137" t="s">
        <v>16</v>
      </c>
      <c r="D10" s="137" t="s">
        <v>17</v>
      </c>
      <c r="E10" s="138" t="s">
        <v>18</v>
      </c>
      <c r="F10" s="138">
        <v>9</v>
      </c>
      <c r="G10" s="272">
        <v>1890</v>
      </c>
      <c r="H10" s="137" t="s">
        <v>19</v>
      </c>
      <c r="I10" s="224" t="s">
        <v>253</v>
      </c>
      <c r="L10" s="275">
        <f>G10-K10</f>
        <v>1890</v>
      </c>
    </row>
    <row r="11" spans="1:12" s="11" customFormat="1" ht="30" customHeight="1">
      <c r="A11" s="269">
        <v>701</v>
      </c>
      <c r="B11" s="174" t="s">
        <v>23</v>
      </c>
      <c r="C11" s="137" t="s">
        <v>24</v>
      </c>
      <c r="D11" s="137" t="s">
        <v>17</v>
      </c>
      <c r="E11" s="138" t="s">
        <v>25</v>
      </c>
      <c r="F11" s="138">
        <v>2</v>
      </c>
      <c r="G11" s="272">
        <v>348.9</v>
      </c>
      <c r="H11" s="137" t="s">
        <v>19</v>
      </c>
      <c r="I11" s="224"/>
      <c r="L11" s="275"/>
    </row>
    <row r="12" spans="1:12" s="11" customFormat="1" ht="45" customHeight="1">
      <c r="A12" s="269">
        <v>702</v>
      </c>
      <c r="B12" s="257" t="s">
        <v>289</v>
      </c>
      <c r="C12" s="137" t="s">
        <v>27</v>
      </c>
      <c r="D12" s="137" t="s">
        <v>17</v>
      </c>
      <c r="E12" s="138" t="s">
        <v>25</v>
      </c>
      <c r="F12" s="138">
        <v>4</v>
      </c>
      <c r="G12" s="272">
        <v>703.52</v>
      </c>
      <c r="H12" s="137" t="s">
        <v>19</v>
      </c>
      <c r="I12" s="224"/>
      <c r="L12" s="275"/>
    </row>
    <row r="13" spans="1:12" s="11" customFormat="1" ht="30" customHeight="1">
      <c r="A13" s="269">
        <v>703</v>
      </c>
      <c r="B13" s="174" t="s">
        <v>290</v>
      </c>
      <c r="C13" s="137" t="s">
        <v>24</v>
      </c>
      <c r="D13" s="137" t="s">
        <v>17</v>
      </c>
      <c r="E13" s="138" t="s">
        <v>22</v>
      </c>
      <c r="F13" s="138">
        <v>2</v>
      </c>
      <c r="G13" s="272">
        <v>96.92</v>
      </c>
      <c r="H13" s="137" t="s">
        <v>19</v>
      </c>
      <c r="I13" s="224"/>
      <c r="L13" s="275"/>
    </row>
    <row r="14" spans="1:12" s="11" customFormat="1" ht="30" customHeight="1">
      <c r="A14" s="269">
        <v>704</v>
      </c>
      <c r="B14" s="214" t="s">
        <v>291</v>
      </c>
      <c r="C14" s="137" t="s">
        <v>24</v>
      </c>
      <c r="D14" s="137" t="s">
        <v>17</v>
      </c>
      <c r="E14" s="138" t="s">
        <v>22</v>
      </c>
      <c r="F14" s="138">
        <v>2</v>
      </c>
      <c r="G14" s="272">
        <v>70.36</v>
      </c>
      <c r="H14" s="137" t="s">
        <v>19</v>
      </c>
      <c r="I14" s="224"/>
      <c r="L14" s="275"/>
    </row>
    <row r="15" spans="1:12" s="11" customFormat="1" ht="45" customHeight="1">
      <c r="A15" s="269">
        <v>705</v>
      </c>
      <c r="B15" s="174" t="s">
        <v>292</v>
      </c>
      <c r="C15" s="137" t="s">
        <v>47</v>
      </c>
      <c r="D15" s="137" t="s">
        <v>17</v>
      </c>
      <c r="E15" s="138" t="s">
        <v>25</v>
      </c>
      <c r="F15" s="138">
        <v>10</v>
      </c>
      <c r="G15" s="272">
        <v>550.1</v>
      </c>
      <c r="H15" s="137" t="s">
        <v>19</v>
      </c>
      <c r="I15" s="224"/>
      <c r="L15" s="275"/>
    </row>
    <row r="16" spans="1:12" s="11" customFormat="1" ht="30" customHeight="1">
      <c r="A16" s="269">
        <v>706</v>
      </c>
      <c r="B16" s="174" t="s">
        <v>293</v>
      </c>
      <c r="C16" s="270" t="s">
        <v>294</v>
      </c>
      <c r="D16" s="137" t="s">
        <v>17</v>
      </c>
      <c r="E16" s="138" t="s">
        <v>25</v>
      </c>
      <c r="F16" s="138">
        <v>9</v>
      </c>
      <c r="G16" s="272">
        <v>10800</v>
      </c>
      <c r="H16" s="137" t="s">
        <v>19</v>
      </c>
      <c r="I16" s="224"/>
      <c r="L16" s="275"/>
    </row>
    <row r="17" spans="1:12" s="11" customFormat="1" ht="30" customHeight="1">
      <c r="A17" s="269">
        <v>707</v>
      </c>
      <c r="B17" s="174" t="s">
        <v>257</v>
      </c>
      <c r="C17" s="270" t="s">
        <v>33</v>
      </c>
      <c r="D17" s="137" t="s">
        <v>17</v>
      </c>
      <c r="E17" s="138" t="s">
        <v>193</v>
      </c>
      <c r="F17" s="138">
        <v>126</v>
      </c>
      <c r="G17" s="272">
        <v>15120</v>
      </c>
      <c r="H17" s="137" t="s">
        <v>19</v>
      </c>
      <c r="I17" s="224"/>
      <c r="L17" s="275"/>
    </row>
    <row r="18" spans="1:12" ht="30" customHeight="1">
      <c r="A18" s="269">
        <v>708</v>
      </c>
      <c r="B18" s="38" t="s">
        <v>57</v>
      </c>
      <c r="C18" s="40" t="s">
        <v>58</v>
      </c>
      <c r="D18" s="40" t="s">
        <v>17</v>
      </c>
      <c r="E18" s="41" t="s">
        <v>25</v>
      </c>
      <c r="F18" s="41">
        <v>1</v>
      </c>
      <c r="G18" s="42">
        <v>2500.2</v>
      </c>
      <c r="H18" s="155" t="s">
        <v>19</v>
      </c>
      <c r="I18" s="224"/>
      <c r="L18" s="74"/>
    </row>
    <row r="19" spans="1:14" s="10" customFormat="1" ht="30" customHeight="1">
      <c r="A19" s="296"/>
      <c r="B19" s="260" t="s">
        <v>59</v>
      </c>
      <c r="C19" s="261"/>
      <c r="D19" s="262"/>
      <c r="E19" s="263"/>
      <c r="F19" s="263"/>
      <c r="G19" s="297">
        <f>SUM(G10:G18)</f>
        <v>32080</v>
      </c>
      <c r="H19" s="265"/>
      <c r="I19" s="224"/>
      <c r="K19" s="267">
        <f>SUM(K10:K18)</f>
        <v>0</v>
      </c>
      <c r="L19" s="267">
        <f>G19-K19</f>
        <v>32080</v>
      </c>
      <c r="N19" s="267">
        <f>K19-M19</f>
        <v>0</v>
      </c>
    </row>
    <row r="20" spans="1:14" ht="30" customHeight="1">
      <c r="A20" s="37">
        <v>709</v>
      </c>
      <c r="B20" s="38" t="s">
        <v>268</v>
      </c>
      <c r="C20" s="40" t="s">
        <v>70</v>
      </c>
      <c r="D20" s="40" t="s">
        <v>62</v>
      </c>
      <c r="E20" s="41" t="s">
        <v>34</v>
      </c>
      <c r="F20" s="69">
        <v>2</v>
      </c>
      <c r="G20" s="295">
        <v>40</v>
      </c>
      <c r="H20" s="137" t="s">
        <v>63</v>
      </c>
      <c r="I20" s="224"/>
      <c r="K20" s="74"/>
      <c r="L20" s="74"/>
      <c r="N20" s="74"/>
    </row>
    <row r="21" spans="1:14" ht="30" customHeight="1">
      <c r="A21" s="37">
        <v>710</v>
      </c>
      <c r="B21" s="38" t="s">
        <v>216</v>
      </c>
      <c r="C21" s="40" t="s">
        <v>217</v>
      </c>
      <c r="D21" s="40" t="s">
        <v>62</v>
      </c>
      <c r="E21" s="41" t="s">
        <v>34</v>
      </c>
      <c r="F21" s="69">
        <v>5</v>
      </c>
      <c r="G21" s="295">
        <v>104.5</v>
      </c>
      <c r="H21" s="137" t="s">
        <v>63</v>
      </c>
      <c r="I21" s="224"/>
      <c r="K21" s="74"/>
      <c r="L21" s="74"/>
      <c r="N21" s="74"/>
    </row>
    <row r="22" spans="1:14" ht="30" customHeight="1">
      <c r="A22" s="37">
        <v>711</v>
      </c>
      <c r="B22" s="38" t="s">
        <v>64</v>
      </c>
      <c r="C22" s="40" t="s">
        <v>65</v>
      </c>
      <c r="D22" s="40" t="s">
        <v>62</v>
      </c>
      <c r="E22" s="41" t="s">
        <v>34</v>
      </c>
      <c r="F22" s="69">
        <v>300</v>
      </c>
      <c r="G22" s="295">
        <v>5110</v>
      </c>
      <c r="H22" s="137" t="s">
        <v>63</v>
      </c>
      <c r="I22" s="224"/>
      <c r="K22" s="74"/>
      <c r="L22" s="74"/>
      <c r="N22" s="74"/>
    </row>
    <row r="23" spans="1:14" ht="30" customHeight="1">
      <c r="A23" s="37">
        <v>712</v>
      </c>
      <c r="B23" s="38" t="s">
        <v>71</v>
      </c>
      <c r="C23" s="71" t="s">
        <v>72</v>
      </c>
      <c r="D23" s="40" t="s">
        <v>62</v>
      </c>
      <c r="E23" s="41" t="s">
        <v>34</v>
      </c>
      <c r="F23" s="69">
        <v>25</v>
      </c>
      <c r="G23" s="295">
        <v>399.5</v>
      </c>
      <c r="H23" s="137" t="s">
        <v>63</v>
      </c>
      <c r="I23" s="224"/>
      <c r="K23" s="74"/>
      <c r="L23" s="74"/>
      <c r="N23" s="74"/>
    </row>
    <row r="24" spans="1:14" ht="45" customHeight="1">
      <c r="A24" s="37">
        <v>713</v>
      </c>
      <c r="B24" s="38" t="s">
        <v>73</v>
      </c>
      <c r="C24" s="40" t="s">
        <v>74</v>
      </c>
      <c r="D24" s="40" t="s">
        <v>62</v>
      </c>
      <c r="E24" s="41" t="s">
        <v>34</v>
      </c>
      <c r="F24" s="69">
        <v>20</v>
      </c>
      <c r="G24" s="295">
        <v>469.8</v>
      </c>
      <c r="H24" s="137" t="s">
        <v>63</v>
      </c>
      <c r="I24" s="224"/>
      <c r="K24" s="74"/>
      <c r="L24" s="74"/>
      <c r="N24" s="74"/>
    </row>
    <row r="25" spans="1:14" ht="30" customHeight="1">
      <c r="A25" s="37">
        <v>714</v>
      </c>
      <c r="B25" s="38" t="s">
        <v>75</v>
      </c>
      <c r="C25" s="71" t="s">
        <v>76</v>
      </c>
      <c r="D25" s="40" t="s">
        <v>62</v>
      </c>
      <c r="E25" s="41" t="s">
        <v>77</v>
      </c>
      <c r="F25" s="69">
        <v>10</v>
      </c>
      <c r="G25" s="295">
        <v>751.5</v>
      </c>
      <c r="H25" s="137" t="s">
        <v>63</v>
      </c>
      <c r="I25" s="224"/>
      <c r="K25" s="74"/>
      <c r="L25" s="74"/>
      <c r="N25" s="74"/>
    </row>
    <row r="26" spans="1:14" ht="30" customHeight="1">
      <c r="A26" s="37">
        <v>715</v>
      </c>
      <c r="B26" s="38" t="s">
        <v>78</v>
      </c>
      <c r="C26" s="40" t="s">
        <v>79</v>
      </c>
      <c r="D26" s="40" t="s">
        <v>62</v>
      </c>
      <c r="E26" s="41" t="s">
        <v>34</v>
      </c>
      <c r="F26" s="69">
        <v>14</v>
      </c>
      <c r="G26" s="295">
        <v>4309.1</v>
      </c>
      <c r="H26" s="137" t="s">
        <v>63</v>
      </c>
      <c r="I26" s="224"/>
      <c r="K26" s="74"/>
      <c r="L26" s="74"/>
      <c r="N26" s="74"/>
    </row>
    <row r="27" spans="1:14" ht="45" customHeight="1">
      <c r="A27" s="37">
        <v>716</v>
      </c>
      <c r="B27" s="38" t="s">
        <v>80</v>
      </c>
      <c r="C27" s="40" t="s">
        <v>81</v>
      </c>
      <c r="D27" s="40" t="s">
        <v>62</v>
      </c>
      <c r="E27" s="41" t="s">
        <v>82</v>
      </c>
      <c r="F27" s="69">
        <v>18.9</v>
      </c>
      <c r="G27" s="295">
        <v>766.62</v>
      </c>
      <c r="H27" s="137" t="s">
        <v>63</v>
      </c>
      <c r="I27" s="224"/>
      <c r="K27" s="74"/>
      <c r="L27" s="74"/>
      <c r="N27" s="74"/>
    </row>
    <row r="28" spans="1:14" ht="30" customHeight="1">
      <c r="A28" s="37">
        <v>717</v>
      </c>
      <c r="B28" s="38" t="s">
        <v>83</v>
      </c>
      <c r="C28" s="40" t="s">
        <v>72</v>
      </c>
      <c r="D28" s="40" t="s">
        <v>62</v>
      </c>
      <c r="E28" s="41" t="s">
        <v>34</v>
      </c>
      <c r="F28" s="69">
        <v>29</v>
      </c>
      <c r="G28" s="295">
        <v>756.3</v>
      </c>
      <c r="H28" s="137" t="s">
        <v>63</v>
      </c>
      <c r="I28" s="224"/>
      <c r="K28" s="74"/>
      <c r="L28" s="74"/>
      <c r="N28" s="74"/>
    </row>
    <row r="29" spans="1:14" ht="30" customHeight="1">
      <c r="A29" s="37">
        <v>718</v>
      </c>
      <c r="B29" s="344" t="s">
        <v>86</v>
      </c>
      <c r="C29" s="345" t="s">
        <v>87</v>
      </c>
      <c r="D29" s="40" t="s">
        <v>62</v>
      </c>
      <c r="E29" s="41" t="s">
        <v>34</v>
      </c>
      <c r="F29" s="69">
        <v>65</v>
      </c>
      <c r="G29" s="295">
        <v>8307</v>
      </c>
      <c r="H29" s="137" t="s">
        <v>63</v>
      </c>
      <c r="I29" s="224"/>
      <c r="K29" s="74"/>
      <c r="L29" s="74"/>
      <c r="N29" s="74"/>
    </row>
    <row r="30" spans="1:14" ht="30" customHeight="1">
      <c r="A30" s="37">
        <v>719</v>
      </c>
      <c r="B30" s="38" t="s">
        <v>88</v>
      </c>
      <c r="C30" s="40" t="s">
        <v>85</v>
      </c>
      <c r="D30" s="40" t="s">
        <v>62</v>
      </c>
      <c r="E30" s="41" t="s">
        <v>34</v>
      </c>
      <c r="F30" s="69">
        <v>15</v>
      </c>
      <c r="G30" s="295">
        <v>1862.5</v>
      </c>
      <c r="H30" s="137" t="s">
        <v>63</v>
      </c>
      <c r="I30" s="224"/>
      <c r="K30" s="74"/>
      <c r="L30" s="74"/>
      <c r="N30" s="74"/>
    </row>
    <row r="31" spans="1:14" ht="30" customHeight="1">
      <c r="A31" s="37">
        <v>720</v>
      </c>
      <c r="B31" s="38" t="s">
        <v>89</v>
      </c>
      <c r="C31" s="40" t="s">
        <v>90</v>
      </c>
      <c r="D31" s="40" t="s">
        <v>62</v>
      </c>
      <c r="E31" s="41" t="s">
        <v>34</v>
      </c>
      <c r="F31" s="69">
        <v>25</v>
      </c>
      <c r="G31" s="295">
        <v>1239.5</v>
      </c>
      <c r="H31" s="137" t="s">
        <v>63</v>
      </c>
      <c r="I31" s="224"/>
      <c r="K31" s="74"/>
      <c r="L31" s="74"/>
      <c r="N31" s="74"/>
    </row>
    <row r="32" spans="1:14" ht="30" customHeight="1">
      <c r="A32" s="37">
        <v>721</v>
      </c>
      <c r="B32" s="38" t="s">
        <v>91</v>
      </c>
      <c r="C32" s="40" t="s">
        <v>92</v>
      </c>
      <c r="D32" s="40" t="s">
        <v>62</v>
      </c>
      <c r="E32" s="41" t="s">
        <v>34</v>
      </c>
      <c r="F32" s="69">
        <v>55</v>
      </c>
      <c r="G32" s="295">
        <v>9195</v>
      </c>
      <c r="H32" s="137" t="s">
        <v>63</v>
      </c>
      <c r="I32" s="224"/>
      <c r="K32" s="74"/>
      <c r="L32" s="74"/>
      <c r="N32" s="74"/>
    </row>
    <row r="33" spans="1:14" ht="30" customHeight="1">
      <c r="A33" s="37">
        <v>722</v>
      </c>
      <c r="B33" s="38" t="s">
        <v>274</v>
      </c>
      <c r="C33" s="40" t="s">
        <v>275</v>
      </c>
      <c r="D33" s="40" t="s">
        <v>62</v>
      </c>
      <c r="E33" s="41" t="s">
        <v>34</v>
      </c>
      <c r="F33" s="69">
        <v>50</v>
      </c>
      <c r="G33" s="295">
        <v>1800</v>
      </c>
      <c r="H33" s="137" t="s">
        <v>63</v>
      </c>
      <c r="I33" s="224"/>
      <c r="K33" s="74"/>
      <c r="L33" s="74"/>
      <c r="N33" s="74"/>
    </row>
    <row r="34" spans="1:14" ht="30" customHeight="1">
      <c r="A34" s="37">
        <v>723</v>
      </c>
      <c r="B34" s="38" t="s">
        <v>222</v>
      </c>
      <c r="C34" s="40" t="s">
        <v>223</v>
      </c>
      <c r="D34" s="40" t="s">
        <v>62</v>
      </c>
      <c r="E34" s="41" t="s">
        <v>34</v>
      </c>
      <c r="F34" s="69">
        <v>15</v>
      </c>
      <c r="G34" s="295">
        <v>292</v>
      </c>
      <c r="H34" s="137" t="s">
        <v>63</v>
      </c>
      <c r="I34" s="224"/>
      <c r="K34" s="74"/>
      <c r="L34" s="74"/>
      <c r="N34" s="74"/>
    </row>
    <row r="35" spans="1:14" ht="30" customHeight="1">
      <c r="A35" s="37">
        <v>724</v>
      </c>
      <c r="B35" s="38" t="s">
        <v>93</v>
      </c>
      <c r="C35" s="40" t="s">
        <v>94</v>
      </c>
      <c r="D35" s="40" t="s">
        <v>62</v>
      </c>
      <c r="E35" s="41" t="s">
        <v>34</v>
      </c>
      <c r="F35" s="69">
        <v>7</v>
      </c>
      <c r="G35" s="295">
        <v>787.89</v>
      </c>
      <c r="H35" s="137" t="s">
        <v>63</v>
      </c>
      <c r="I35" s="224"/>
      <c r="K35" s="74"/>
      <c r="L35" s="74"/>
      <c r="N35" s="74"/>
    </row>
    <row r="36" spans="1:14" ht="30" customHeight="1">
      <c r="A36" s="37">
        <v>725</v>
      </c>
      <c r="B36" s="38" t="s">
        <v>224</v>
      </c>
      <c r="C36" s="40" t="s">
        <v>225</v>
      </c>
      <c r="D36" s="40" t="s">
        <v>62</v>
      </c>
      <c r="E36" s="41" t="s">
        <v>34</v>
      </c>
      <c r="F36" s="69">
        <v>5</v>
      </c>
      <c r="G36" s="295">
        <v>62</v>
      </c>
      <c r="H36" s="137" t="s">
        <v>63</v>
      </c>
      <c r="I36" s="224"/>
      <c r="K36" s="74"/>
      <c r="L36" s="74"/>
      <c r="N36" s="74"/>
    </row>
    <row r="37" spans="1:14" ht="30" customHeight="1">
      <c r="A37" s="37">
        <v>726</v>
      </c>
      <c r="B37" s="40" t="s">
        <v>95</v>
      </c>
      <c r="C37" s="40" t="s">
        <v>96</v>
      </c>
      <c r="D37" s="40" t="s">
        <v>62</v>
      </c>
      <c r="E37" s="41" t="s">
        <v>34</v>
      </c>
      <c r="F37" s="69">
        <v>40</v>
      </c>
      <c r="G37" s="295">
        <v>8207</v>
      </c>
      <c r="H37" s="137" t="s">
        <v>63</v>
      </c>
      <c r="I37" s="224"/>
      <c r="K37" s="74"/>
      <c r="L37" s="74"/>
      <c r="N37" s="74"/>
    </row>
    <row r="38" spans="1:14" ht="30" customHeight="1">
      <c r="A38" s="37">
        <v>727</v>
      </c>
      <c r="B38" s="40" t="s">
        <v>97</v>
      </c>
      <c r="C38" s="345" t="s">
        <v>87</v>
      </c>
      <c r="D38" s="40" t="s">
        <v>62</v>
      </c>
      <c r="E38" s="41" t="s">
        <v>34</v>
      </c>
      <c r="F38" s="69">
        <v>63</v>
      </c>
      <c r="G38" s="295">
        <v>14490</v>
      </c>
      <c r="H38" s="137" t="s">
        <v>63</v>
      </c>
      <c r="I38" s="224"/>
      <c r="K38" s="74"/>
      <c r="L38" s="74"/>
      <c r="N38" s="74"/>
    </row>
    <row r="39" spans="1:14" ht="45" customHeight="1">
      <c r="A39" s="37">
        <v>728</v>
      </c>
      <c r="B39" s="54" t="s">
        <v>98</v>
      </c>
      <c r="C39" s="40" t="s">
        <v>61</v>
      </c>
      <c r="D39" s="40" t="s">
        <v>62</v>
      </c>
      <c r="E39" s="41" t="s">
        <v>25</v>
      </c>
      <c r="F39" s="69">
        <v>300</v>
      </c>
      <c r="G39" s="295">
        <v>3817.15</v>
      </c>
      <c r="H39" s="137" t="s">
        <v>63</v>
      </c>
      <c r="I39" s="224"/>
      <c r="K39" s="74"/>
      <c r="L39" s="74"/>
      <c r="N39" s="74"/>
    </row>
    <row r="40" spans="1:14" ht="30" customHeight="1">
      <c r="A40" s="37">
        <v>729</v>
      </c>
      <c r="B40" s="40" t="s">
        <v>99</v>
      </c>
      <c r="C40" s="40" t="s">
        <v>100</v>
      </c>
      <c r="D40" s="40" t="s">
        <v>62</v>
      </c>
      <c r="E40" s="41" t="s">
        <v>34</v>
      </c>
      <c r="F40" s="69">
        <v>27</v>
      </c>
      <c r="G40" s="295">
        <v>8204.94</v>
      </c>
      <c r="H40" s="137" t="s">
        <v>63</v>
      </c>
      <c r="I40" s="224"/>
      <c r="K40" s="74"/>
      <c r="L40" s="74"/>
      <c r="N40" s="74"/>
    </row>
    <row r="41" spans="1:14" ht="30" customHeight="1">
      <c r="A41" s="37">
        <v>730</v>
      </c>
      <c r="B41" s="40" t="s">
        <v>101</v>
      </c>
      <c r="C41" s="40" t="s">
        <v>102</v>
      </c>
      <c r="D41" s="40" t="s">
        <v>62</v>
      </c>
      <c r="E41" s="41" t="s">
        <v>34</v>
      </c>
      <c r="F41" s="69">
        <v>1</v>
      </c>
      <c r="G41" s="295">
        <v>595</v>
      </c>
      <c r="H41" s="137" t="s">
        <v>63</v>
      </c>
      <c r="I41" s="224"/>
      <c r="K41" s="74"/>
      <c r="L41" s="74"/>
      <c r="N41" s="74"/>
    </row>
    <row r="42" spans="1:14" ht="30" customHeight="1">
      <c r="A42" s="37">
        <v>731</v>
      </c>
      <c r="B42" s="40" t="s">
        <v>228</v>
      </c>
      <c r="C42" s="40" t="s">
        <v>229</v>
      </c>
      <c r="D42" s="40" t="s">
        <v>62</v>
      </c>
      <c r="E42" s="41" t="s">
        <v>34</v>
      </c>
      <c r="F42" s="69">
        <v>70</v>
      </c>
      <c r="G42" s="295">
        <v>2992</v>
      </c>
      <c r="H42" s="137" t="s">
        <v>63</v>
      </c>
      <c r="I42" s="224"/>
      <c r="K42" s="74"/>
      <c r="L42" s="74"/>
      <c r="N42" s="74"/>
    </row>
    <row r="43" spans="1:14" ht="30" customHeight="1">
      <c r="A43" s="37">
        <v>732</v>
      </c>
      <c r="B43" s="40" t="s">
        <v>103</v>
      </c>
      <c r="C43" s="40" t="s">
        <v>104</v>
      </c>
      <c r="D43" s="40" t="s">
        <v>62</v>
      </c>
      <c r="E43" s="41" t="s">
        <v>25</v>
      </c>
      <c r="F43" s="69">
        <v>700</v>
      </c>
      <c r="G43" s="295">
        <v>3248</v>
      </c>
      <c r="H43" s="137" t="s">
        <v>63</v>
      </c>
      <c r="I43" s="224"/>
      <c r="K43" s="74"/>
      <c r="L43" s="74"/>
      <c r="N43" s="74"/>
    </row>
    <row r="44" spans="1:14" ht="45" customHeight="1">
      <c r="A44" s="37">
        <v>733</v>
      </c>
      <c r="B44" s="38" t="s">
        <v>60</v>
      </c>
      <c r="C44" s="40" t="s">
        <v>61</v>
      </c>
      <c r="D44" s="40" t="s">
        <v>62</v>
      </c>
      <c r="E44" s="41" t="s">
        <v>34</v>
      </c>
      <c r="F44" s="69">
        <v>4</v>
      </c>
      <c r="G44" s="295">
        <v>174.4</v>
      </c>
      <c r="H44" s="137" t="s">
        <v>63</v>
      </c>
      <c r="I44" s="224"/>
      <c r="K44" s="74"/>
      <c r="L44" s="74"/>
      <c r="N44" s="74"/>
    </row>
    <row r="45" spans="1:14" ht="30" customHeight="1">
      <c r="A45" s="37">
        <v>734</v>
      </c>
      <c r="B45" s="38" t="s">
        <v>105</v>
      </c>
      <c r="C45" s="40" t="s">
        <v>70</v>
      </c>
      <c r="D45" s="40" t="s">
        <v>62</v>
      </c>
      <c r="E45" s="41" t="s">
        <v>34</v>
      </c>
      <c r="F45" s="69">
        <v>27</v>
      </c>
      <c r="G45" s="295">
        <v>898.3</v>
      </c>
      <c r="H45" s="137" t="s">
        <v>63</v>
      </c>
      <c r="I45" s="224"/>
      <c r="K45" s="74"/>
      <c r="L45" s="74"/>
      <c r="N45" s="74"/>
    </row>
    <row r="46" spans="1:14" s="10" customFormat="1" ht="30" customHeight="1">
      <c r="A46" s="296"/>
      <c r="B46" s="260" t="s">
        <v>106</v>
      </c>
      <c r="C46" s="261"/>
      <c r="D46" s="262"/>
      <c r="E46" s="263"/>
      <c r="F46" s="261"/>
      <c r="G46" s="297">
        <f>SUM(G20:G45)</f>
        <v>78880</v>
      </c>
      <c r="H46" s="265"/>
      <c r="I46" s="224"/>
      <c r="K46" s="267"/>
      <c r="L46" s="267"/>
      <c r="N46" s="267"/>
    </row>
    <row r="47" spans="1:12" s="11" customFormat="1" ht="30" customHeight="1">
      <c r="A47" s="269">
        <v>735</v>
      </c>
      <c r="B47" s="270" t="s">
        <v>235</v>
      </c>
      <c r="C47" s="137" t="s">
        <v>116</v>
      </c>
      <c r="D47" s="137" t="s">
        <v>109</v>
      </c>
      <c r="E47" s="138" t="s">
        <v>113</v>
      </c>
      <c r="F47" s="271" t="s">
        <v>117</v>
      </c>
      <c r="G47" s="272">
        <f>318+174</f>
        <v>492</v>
      </c>
      <c r="H47" s="137" t="s">
        <v>63</v>
      </c>
      <c r="I47" s="224"/>
      <c r="K47" s="11">
        <v>99</v>
      </c>
      <c r="L47" s="275">
        <f aca="true" t="shared" si="0" ref="L47:L53">G47-K47</f>
        <v>393</v>
      </c>
    </row>
    <row r="48" spans="1:12" s="11" customFormat="1" ht="45" customHeight="1">
      <c r="A48" s="269">
        <v>736</v>
      </c>
      <c r="B48" s="270" t="s">
        <v>236</v>
      </c>
      <c r="C48" s="137" t="s">
        <v>119</v>
      </c>
      <c r="D48" s="137" t="s">
        <v>109</v>
      </c>
      <c r="E48" s="138" t="s">
        <v>120</v>
      </c>
      <c r="F48" s="138" t="s">
        <v>121</v>
      </c>
      <c r="G48" s="272">
        <v>3375.77</v>
      </c>
      <c r="H48" s="137" t="s">
        <v>63</v>
      </c>
      <c r="I48" s="224"/>
      <c r="K48" s="11">
        <f>1093.11</f>
        <v>1093.11</v>
      </c>
      <c r="L48" s="275">
        <f t="shared" si="0"/>
        <v>2282.66</v>
      </c>
    </row>
    <row r="49" spans="1:12" s="11" customFormat="1" ht="30" customHeight="1">
      <c r="A49" s="269">
        <v>737</v>
      </c>
      <c r="B49" s="98" t="s">
        <v>295</v>
      </c>
      <c r="C49" s="99" t="s">
        <v>112</v>
      </c>
      <c r="D49" s="99" t="s">
        <v>109</v>
      </c>
      <c r="E49" s="162" t="s">
        <v>113</v>
      </c>
      <c r="F49" s="138">
        <v>1500</v>
      </c>
      <c r="G49" s="272">
        <v>1800</v>
      </c>
      <c r="H49" s="137" t="s">
        <v>63</v>
      </c>
      <c r="I49" s="224"/>
      <c r="K49" s="11">
        <f>400</f>
        <v>400</v>
      </c>
      <c r="L49" s="275">
        <f t="shared" si="0"/>
        <v>1400</v>
      </c>
    </row>
    <row r="50" spans="1:12" s="11" customFormat="1" ht="30" customHeight="1">
      <c r="A50" s="269">
        <v>738</v>
      </c>
      <c r="B50" s="270" t="s">
        <v>130</v>
      </c>
      <c r="C50" s="137" t="s">
        <v>131</v>
      </c>
      <c r="D50" s="137" t="s">
        <v>109</v>
      </c>
      <c r="E50" s="138" t="s">
        <v>25</v>
      </c>
      <c r="F50" s="138">
        <v>3</v>
      </c>
      <c r="G50" s="272">
        <v>840</v>
      </c>
      <c r="H50" s="137" t="s">
        <v>132</v>
      </c>
      <c r="I50" s="224"/>
      <c r="K50" s="11">
        <v>280</v>
      </c>
      <c r="L50" s="275">
        <f t="shared" si="0"/>
        <v>560</v>
      </c>
    </row>
    <row r="51" spans="1:12" s="11" customFormat="1" ht="30" customHeight="1">
      <c r="A51" s="269">
        <v>739</v>
      </c>
      <c r="B51" s="273" t="s">
        <v>286</v>
      </c>
      <c r="C51" s="274" t="s">
        <v>239</v>
      </c>
      <c r="D51" s="137" t="s">
        <v>109</v>
      </c>
      <c r="E51" s="138" t="s">
        <v>285</v>
      </c>
      <c r="F51" s="138">
        <v>561.7</v>
      </c>
      <c r="G51" s="272">
        <v>1662.63</v>
      </c>
      <c r="H51" s="137" t="s">
        <v>19</v>
      </c>
      <c r="I51" s="224"/>
      <c r="L51" s="275">
        <f t="shared" si="0"/>
        <v>1662.63</v>
      </c>
    </row>
    <row r="52" spans="1:12" s="11" customFormat="1" ht="30" customHeight="1">
      <c r="A52" s="269">
        <v>740</v>
      </c>
      <c r="B52" s="270" t="s">
        <v>127</v>
      </c>
      <c r="C52" s="274" t="s">
        <v>239</v>
      </c>
      <c r="D52" s="137" t="s">
        <v>109</v>
      </c>
      <c r="E52" s="138" t="s">
        <v>285</v>
      </c>
      <c r="F52" s="138">
        <v>1270</v>
      </c>
      <c r="G52" s="272">
        <v>3276.6</v>
      </c>
      <c r="H52" s="137" t="s">
        <v>19</v>
      </c>
      <c r="I52" s="224"/>
      <c r="L52" s="275">
        <f t="shared" si="0"/>
        <v>3276.6</v>
      </c>
    </row>
    <row r="53" spans="1:12" s="11" customFormat="1" ht="30" customHeight="1">
      <c r="A53" s="269">
        <v>741</v>
      </c>
      <c r="B53" s="98" t="s">
        <v>296</v>
      </c>
      <c r="C53" s="99" t="s">
        <v>282</v>
      </c>
      <c r="D53" s="137" t="s">
        <v>109</v>
      </c>
      <c r="E53" s="138" t="s">
        <v>113</v>
      </c>
      <c r="F53" s="138" t="s">
        <v>117</v>
      </c>
      <c r="G53" s="272">
        <f>1413-174</f>
        <v>1239</v>
      </c>
      <c r="H53" s="137" t="s">
        <v>63</v>
      </c>
      <c r="I53" s="224"/>
      <c r="K53" s="11">
        <v>470.96</v>
      </c>
      <c r="L53" s="275">
        <f t="shared" si="0"/>
        <v>768.04</v>
      </c>
    </row>
    <row r="54" spans="1:12" s="10" customFormat="1" ht="30" customHeight="1">
      <c r="A54" s="334"/>
      <c r="B54" s="260" t="s">
        <v>136</v>
      </c>
      <c r="C54" s="261"/>
      <c r="D54" s="262"/>
      <c r="E54" s="263"/>
      <c r="F54" s="263"/>
      <c r="G54" s="297">
        <f>SUM(G47:G53)</f>
        <v>12686</v>
      </c>
      <c r="H54" s="265"/>
      <c r="I54" s="224"/>
      <c r="K54" s="10">
        <f>SUM(K47:K53)</f>
        <v>2343.0699999999997</v>
      </c>
      <c r="L54" s="267">
        <f>SUM(L47:L53)</f>
        <v>10342.93</v>
      </c>
    </row>
    <row r="55" spans="1:11" ht="30" customHeight="1">
      <c r="A55" s="269">
        <v>742</v>
      </c>
      <c r="B55" s="38" t="s">
        <v>137</v>
      </c>
      <c r="C55" s="52" t="s">
        <v>138</v>
      </c>
      <c r="D55" s="40" t="s">
        <v>139</v>
      </c>
      <c r="E55" s="41" t="s">
        <v>140</v>
      </c>
      <c r="F55" s="53">
        <f>G55/67.76</f>
        <v>4995.572609208973</v>
      </c>
      <c r="G55" s="295">
        <v>338500</v>
      </c>
      <c r="H55" s="137" t="s">
        <v>63</v>
      </c>
      <c r="I55" s="224"/>
      <c r="K55" s="12">
        <v>139880</v>
      </c>
    </row>
    <row r="56" spans="1:9" s="10" customFormat="1" ht="30" customHeight="1">
      <c r="A56" s="334"/>
      <c r="B56" s="260" t="s">
        <v>141</v>
      </c>
      <c r="C56" s="261"/>
      <c r="D56" s="262"/>
      <c r="E56" s="263"/>
      <c r="F56" s="263"/>
      <c r="G56" s="297">
        <f>SUM(G55:G55)</f>
        <v>338500</v>
      </c>
      <c r="H56" s="265"/>
      <c r="I56" s="224"/>
    </row>
    <row r="57" spans="1:11" ht="30" customHeight="1">
      <c r="A57" s="269">
        <v>743</v>
      </c>
      <c r="B57" s="38" t="s">
        <v>244</v>
      </c>
      <c r="C57" s="54" t="s">
        <v>245</v>
      </c>
      <c r="D57" s="40" t="s">
        <v>246</v>
      </c>
      <c r="E57" s="41" t="s">
        <v>110</v>
      </c>
      <c r="F57" s="56">
        <f>G57/12.72</f>
        <v>135.53459119496856</v>
      </c>
      <c r="G57" s="295">
        <v>1724</v>
      </c>
      <c r="H57" s="137" t="s">
        <v>63</v>
      </c>
      <c r="I57" s="224"/>
      <c r="K57" s="74"/>
    </row>
    <row r="58" spans="1:9" s="10" customFormat="1" ht="30" customHeight="1">
      <c r="A58" s="334"/>
      <c r="B58" s="260" t="s">
        <v>247</v>
      </c>
      <c r="C58" s="261"/>
      <c r="D58" s="262"/>
      <c r="E58" s="263"/>
      <c r="F58" s="263"/>
      <c r="G58" s="297">
        <f>G57</f>
        <v>1724</v>
      </c>
      <c r="H58" s="265"/>
      <c r="I58" s="224"/>
    </row>
    <row r="59" spans="1:13" ht="30" customHeight="1">
      <c r="A59" s="269">
        <v>744</v>
      </c>
      <c r="B59" s="38" t="s">
        <v>142</v>
      </c>
      <c r="C59" s="54" t="s">
        <v>143</v>
      </c>
      <c r="D59" s="40" t="s">
        <v>144</v>
      </c>
      <c r="E59" s="41" t="s">
        <v>145</v>
      </c>
      <c r="F59" s="56">
        <f>G59/4.14243</f>
        <v>4759.766610419488</v>
      </c>
      <c r="G59" s="295">
        <v>19717</v>
      </c>
      <c r="H59" s="137" t="s">
        <v>63</v>
      </c>
      <c r="I59" s="224"/>
      <c r="K59" s="12">
        <f>7652.12</f>
        <v>7652.12</v>
      </c>
      <c r="L59" s="240"/>
      <c r="M59" s="74">
        <f>G59-K59</f>
        <v>12064.880000000001</v>
      </c>
    </row>
    <row r="60" spans="1:9" s="10" customFormat="1" ht="30" customHeight="1">
      <c r="A60" s="296"/>
      <c r="B60" s="260" t="s">
        <v>146</v>
      </c>
      <c r="C60" s="261"/>
      <c r="D60" s="262"/>
      <c r="E60" s="262"/>
      <c r="F60" s="262"/>
      <c r="G60" s="297">
        <f>G59</f>
        <v>19717</v>
      </c>
      <c r="H60" s="265"/>
      <c r="I60" s="224"/>
    </row>
    <row r="61" spans="1:9" ht="22.5" customHeight="1">
      <c r="A61" s="19"/>
      <c r="B61" s="208" t="s">
        <v>151</v>
      </c>
      <c r="C61" s="167"/>
      <c r="D61" s="168"/>
      <c r="E61" s="207"/>
      <c r="F61" s="170"/>
      <c r="G61" s="304"/>
      <c r="H61" s="171"/>
      <c r="I61" s="223"/>
    </row>
    <row r="62" spans="1:9" ht="22.5" customHeight="1">
      <c r="A62" s="19"/>
      <c r="B62" s="106" t="s">
        <v>152</v>
      </c>
      <c r="C62" s="107"/>
      <c r="D62" s="108" t="s">
        <v>153</v>
      </c>
      <c r="E62" s="109"/>
      <c r="F62" s="109"/>
      <c r="G62" s="304"/>
      <c r="H62" s="171"/>
      <c r="I62" s="223"/>
    </row>
    <row r="63" spans="1:9" s="8" customFormat="1" ht="22.5" customHeight="1">
      <c r="A63" s="19"/>
      <c r="B63" s="111"/>
      <c r="C63" s="9"/>
      <c r="D63" s="112" t="s">
        <v>154</v>
      </c>
      <c r="E63" s="113" t="s">
        <v>155</v>
      </c>
      <c r="F63" s="114"/>
      <c r="G63" s="304"/>
      <c r="H63" s="171"/>
      <c r="I63" s="223"/>
    </row>
    <row r="64" spans="1:9" s="8" customFormat="1" ht="22.5" customHeight="1">
      <c r="A64" s="19"/>
      <c r="B64" s="115" t="s">
        <v>156</v>
      </c>
      <c r="C64" s="116"/>
      <c r="D64" s="108" t="s">
        <v>157</v>
      </c>
      <c r="E64" s="109"/>
      <c r="F64" s="109"/>
      <c r="G64" s="304"/>
      <c r="H64" s="171"/>
      <c r="I64" s="223"/>
    </row>
    <row r="65" spans="1:9" ht="22.5" customHeight="1">
      <c r="A65" s="19"/>
      <c r="B65" s="111"/>
      <c r="C65" s="9"/>
      <c r="D65" s="112" t="s">
        <v>154</v>
      </c>
      <c r="E65" s="113"/>
      <c r="F65" s="114"/>
      <c r="G65" s="304"/>
      <c r="H65" s="8"/>
      <c r="I65" s="141"/>
    </row>
    <row r="66" spans="1:9" s="8" customFormat="1" ht="22.5" customHeight="1">
      <c r="A66" s="19"/>
      <c r="B66" s="115" t="s">
        <v>158</v>
      </c>
      <c r="C66" s="9"/>
      <c r="D66" s="9"/>
      <c r="E66" s="9"/>
      <c r="F66" s="9"/>
      <c r="G66" s="304"/>
      <c r="H66" s="171"/>
      <c r="I66" s="223"/>
    </row>
    <row r="67" spans="1:9" s="2" customFormat="1" ht="30" customHeight="1">
      <c r="A67" s="169"/>
      <c r="B67" s="229" t="s">
        <v>159</v>
      </c>
      <c r="C67" s="167"/>
      <c r="D67" s="291" t="s">
        <v>160</v>
      </c>
      <c r="E67" s="229"/>
      <c r="F67" s="170"/>
      <c r="G67" s="307"/>
      <c r="H67" s="171"/>
      <c r="I67" s="326"/>
    </row>
    <row r="68" spans="1:9" ht="22.5" customHeight="1">
      <c r="A68" s="19"/>
      <c r="B68" s="230" t="s">
        <v>161</v>
      </c>
      <c r="C68" s="167"/>
      <c r="D68" s="168"/>
      <c r="E68" s="207"/>
      <c r="F68" s="170"/>
      <c r="G68" s="304"/>
      <c r="H68" s="171"/>
      <c r="I68" s="223"/>
    </row>
  </sheetData>
  <sheetProtection/>
  <mergeCells count="19">
    <mergeCell ref="F1:G1"/>
    <mergeCell ref="A2:I2"/>
    <mergeCell ref="A3:I3"/>
    <mergeCell ref="B19:C19"/>
    <mergeCell ref="B46:C46"/>
    <mergeCell ref="B54:C54"/>
    <mergeCell ref="B56:C56"/>
    <mergeCell ref="B58:C58"/>
    <mergeCell ref="B60:C60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I10:I60"/>
  </mergeCells>
  <hyperlinks>
    <hyperlink ref="C18" r:id="rId1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47"/>
  <sheetViews>
    <sheetView view="pageBreakPreview" zoomScale="90" zoomScaleNormal="90" zoomScaleSheetLayoutView="90" workbookViewId="0" topLeftCell="A22">
      <selection activeCell="C31" sqref="C31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172" t="s">
        <v>297</v>
      </c>
      <c r="B2" s="172"/>
      <c r="C2" s="172"/>
      <c r="D2" s="172"/>
      <c r="E2" s="172"/>
      <c r="F2" s="172"/>
      <c r="G2" s="172"/>
      <c r="H2" s="172"/>
      <c r="I2" s="172"/>
    </row>
    <row r="3" spans="3:9" ht="15" customHeight="1">
      <c r="C3" s="124"/>
      <c r="D3" s="125" t="s">
        <v>4</v>
      </c>
      <c r="E3" s="124"/>
      <c r="F3" s="124"/>
      <c r="G3" s="3"/>
      <c r="H3" s="16"/>
      <c r="I3" s="16"/>
    </row>
    <row r="4" spans="5:6" ht="15" customHeight="1">
      <c r="E4" s="3"/>
      <c r="F4" s="3"/>
    </row>
    <row r="5" spans="1:11" ht="15.75" customHeight="1">
      <c r="A5" s="26" t="s">
        <v>5</v>
      </c>
      <c r="B5" s="27" t="s">
        <v>6</v>
      </c>
      <c r="C5" s="28" t="s">
        <v>7</v>
      </c>
      <c r="D5" s="28" t="s">
        <v>249</v>
      </c>
      <c r="E5" s="28" t="s">
        <v>9</v>
      </c>
      <c r="F5" s="28" t="s">
        <v>10</v>
      </c>
      <c r="G5" s="28" t="s">
        <v>250</v>
      </c>
      <c r="H5" s="28" t="s">
        <v>251</v>
      </c>
      <c r="I5" s="28" t="s">
        <v>13</v>
      </c>
      <c r="J5" s="71"/>
      <c r="K5" s="71"/>
    </row>
    <row r="6" spans="1:9" ht="31.5" customHeight="1">
      <c r="A6" s="29"/>
      <c r="B6" s="30"/>
      <c r="C6" s="31"/>
      <c r="D6" s="31"/>
      <c r="E6" s="31"/>
      <c r="F6" s="31"/>
      <c r="G6" s="31"/>
      <c r="H6" s="31"/>
      <c r="I6" s="31"/>
    </row>
    <row r="7" spans="1:9" ht="37.5" customHeight="1">
      <c r="A7" s="32"/>
      <c r="B7" s="33"/>
      <c r="C7" s="34"/>
      <c r="D7" s="34"/>
      <c r="E7" s="34"/>
      <c r="F7" s="34"/>
      <c r="G7" s="34"/>
      <c r="H7" s="34"/>
      <c r="I7" s="34"/>
    </row>
    <row r="8" spans="1:15" ht="20.25" customHeight="1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72">
        <v>9</v>
      </c>
      <c r="O8" s="12" t="s">
        <v>298</v>
      </c>
    </row>
    <row r="9" spans="1:14" ht="30" customHeight="1">
      <c r="A9" s="37">
        <v>673</v>
      </c>
      <c r="B9" s="38" t="s">
        <v>299</v>
      </c>
      <c r="C9" s="39" t="s">
        <v>300</v>
      </c>
      <c r="D9" s="40" t="s">
        <v>17</v>
      </c>
      <c r="E9" s="41" t="s">
        <v>18</v>
      </c>
      <c r="F9" s="41">
        <v>15</v>
      </c>
      <c r="G9" s="53">
        <v>3150</v>
      </c>
      <c r="H9" s="40" t="s">
        <v>19</v>
      </c>
      <c r="I9" s="73" t="s">
        <v>253</v>
      </c>
      <c r="J9" s="12">
        <f>4</f>
        <v>4</v>
      </c>
      <c r="K9" s="12">
        <f>1040</f>
        <v>1040</v>
      </c>
      <c r="L9" s="74">
        <f>G9-K9</f>
        <v>2110</v>
      </c>
      <c r="M9" s="12">
        <v>5</v>
      </c>
      <c r="N9" s="12">
        <v>1300</v>
      </c>
    </row>
    <row r="10" spans="1:12" ht="30" customHeight="1">
      <c r="A10" s="37">
        <v>674</v>
      </c>
      <c r="B10" s="94" t="s">
        <v>301</v>
      </c>
      <c r="C10" s="43" t="s">
        <v>302</v>
      </c>
      <c r="D10" s="40" t="s">
        <v>17</v>
      </c>
      <c r="E10" s="41" t="s">
        <v>165</v>
      </c>
      <c r="F10" s="41">
        <v>3</v>
      </c>
      <c r="G10" s="53">
        <v>1110</v>
      </c>
      <c r="H10" s="40" t="s">
        <v>19</v>
      </c>
      <c r="I10" s="100"/>
      <c r="L10" s="74"/>
    </row>
    <row r="11" spans="1:12" ht="30" customHeight="1">
      <c r="A11" s="37">
        <v>675</v>
      </c>
      <c r="B11" s="256" t="s">
        <v>303</v>
      </c>
      <c r="C11" s="43" t="s">
        <v>300</v>
      </c>
      <c r="D11" s="40" t="s">
        <v>17</v>
      </c>
      <c r="E11" s="41" t="s">
        <v>25</v>
      </c>
      <c r="F11" s="41">
        <v>26</v>
      </c>
      <c r="G11" s="53">
        <v>390</v>
      </c>
      <c r="H11" s="40" t="s">
        <v>19</v>
      </c>
      <c r="I11" s="100"/>
      <c r="J11" s="12">
        <v>12</v>
      </c>
      <c r="K11" s="12">
        <v>720</v>
      </c>
      <c r="L11" s="74">
        <f>G11-K11</f>
        <v>-330</v>
      </c>
    </row>
    <row r="12" spans="1:12" s="5" customFormat="1" ht="44.25" customHeight="1">
      <c r="A12" s="37">
        <v>676</v>
      </c>
      <c r="B12" s="256" t="s">
        <v>304</v>
      </c>
      <c r="C12" s="43" t="s">
        <v>168</v>
      </c>
      <c r="D12" s="40" t="s">
        <v>17</v>
      </c>
      <c r="E12" s="41" t="s">
        <v>25</v>
      </c>
      <c r="F12" s="41">
        <v>1</v>
      </c>
      <c r="G12" s="53">
        <v>226.96</v>
      </c>
      <c r="H12" s="40" t="s">
        <v>19</v>
      </c>
      <c r="I12" s="100"/>
      <c r="L12" s="165"/>
    </row>
    <row r="13" spans="1:12" s="5" customFormat="1" ht="29.25" customHeight="1">
      <c r="A13" s="37">
        <v>677</v>
      </c>
      <c r="B13" s="256" t="s">
        <v>305</v>
      </c>
      <c r="C13" s="43" t="s">
        <v>24</v>
      </c>
      <c r="D13" s="40" t="s">
        <v>17</v>
      </c>
      <c r="E13" s="41" t="s">
        <v>306</v>
      </c>
      <c r="F13" s="41">
        <v>1</v>
      </c>
      <c r="G13" s="53">
        <v>173</v>
      </c>
      <c r="H13" s="40" t="s">
        <v>19</v>
      </c>
      <c r="I13" s="100"/>
      <c r="L13" s="165"/>
    </row>
    <row r="14" spans="1:12" s="5" customFormat="1" ht="29.25" customHeight="1">
      <c r="A14" s="37">
        <v>678</v>
      </c>
      <c r="B14" s="256" t="s">
        <v>307</v>
      </c>
      <c r="C14" s="43" t="s">
        <v>308</v>
      </c>
      <c r="D14" s="40" t="s">
        <v>17</v>
      </c>
      <c r="E14" s="41" t="s">
        <v>306</v>
      </c>
      <c r="F14" s="41">
        <v>2</v>
      </c>
      <c r="G14" s="53">
        <v>118</v>
      </c>
      <c r="H14" s="40" t="s">
        <v>19</v>
      </c>
      <c r="I14" s="100"/>
      <c r="L14" s="165"/>
    </row>
    <row r="15" spans="1:12" ht="45" customHeight="1">
      <c r="A15" s="37">
        <v>679</v>
      </c>
      <c r="B15" s="257" t="s">
        <v>289</v>
      </c>
      <c r="C15" s="96" t="s">
        <v>308</v>
      </c>
      <c r="D15" s="40" t="s">
        <v>17</v>
      </c>
      <c r="E15" s="41" t="s">
        <v>25</v>
      </c>
      <c r="F15" s="41">
        <v>3</v>
      </c>
      <c r="G15" s="53">
        <v>526.14</v>
      </c>
      <c r="H15" s="40" t="s">
        <v>19</v>
      </c>
      <c r="I15" s="100"/>
      <c r="J15" s="12">
        <v>45</v>
      </c>
      <c r="K15" s="12">
        <v>1535.85</v>
      </c>
      <c r="L15" s="74">
        <f>G15-K15</f>
        <v>-1009.7099999999999</v>
      </c>
    </row>
    <row r="16" spans="1:9" s="5" customFormat="1" ht="45" customHeight="1">
      <c r="A16" s="37">
        <v>680</v>
      </c>
      <c r="B16" s="258" t="s">
        <v>309</v>
      </c>
      <c r="C16" s="43" t="s">
        <v>310</v>
      </c>
      <c r="D16" s="40" t="s">
        <v>17</v>
      </c>
      <c r="E16" s="41" t="s">
        <v>25</v>
      </c>
      <c r="F16" s="56">
        <v>1</v>
      </c>
      <c r="G16" s="53">
        <v>990</v>
      </c>
      <c r="H16" s="40" t="s">
        <v>19</v>
      </c>
      <c r="I16" s="100"/>
    </row>
    <row r="17" spans="1:9" s="5" customFormat="1" ht="30" customHeight="1">
      <c r="A17" s="37">
        <v>681</v>
      </c>
      <c r="B17" s="258" t="s">
        <v>257</v>
      </c>
      <c r="C17" s="96" t="s">
        <v>311</v>
      </c>
      <c r="D17" s="40" t="s">
        <v>17</v>
      </c>
      <c r="E17" s="41" t="s">
        <v>193</v>
      </c>
      <c r="F17" s="56">
        <v>52</v>
      </c>
      <c r="G17" s="53">
        <v>6240</v>
      </c>
      <c r="H17" s="40" t="s">
        <v>19</v>
      </c>
      <c r="I17" s="100"/>
    </row>
    <row r="18" spans="1:9" s="5" customFormat="1" ht="30" customHeight="1">
      <c r="A18" s="37">
        <v>682</v>
      </c>
      <c r="B18" s="258" t="s">
        <v>312</v>
      </c>
      <c r="C18" s="96" t="s">
        <v>311</v>
      </c>
      <c r="D18" s="40" t="s">
        <v>17</v>
      </c>
      <c r="E18" s="41" t="s">
        <v>313</v>
      </c>
      <c r="F18" s="56">
        <v>10</v>
      </c>
      <c r="G18" s="53">
        <v>1000</v>
      </c>
      <c r="H18" s="40" t="s">
        <v>19</v>
      </c>
      <c r="I18" s="100"/>
    </row>
    <row r="19" spans="1:9" s="5" customFormat="1" ht="30" customHeight="1">
      <c r="A19" s="37">
        <v>683</v>
      </c>
      <c r="B19" s="258" t="s">
        <v>314</v>
      </c>
      <c r="C19" s="43" t="s">
        <v>179</v>
      </c>
      <c r="D19" s="40" t="s">
        <v>17</v>
      </c>
      <c r="E19" s="41" t="s">
        <v>25</v>
      </c>
      <c r="F19" s="56">
        <v>3</v>
      </c>
      <c r="G19" s="53">
        <v>157.5</v>
      </c>
      <c r="H19" s="40" t="s">
        <v>19</v>
      </c>
      <c r="I19" s="100"/>
    </row>
    <row r="20" spans="1:9" s="5" customFormat="1" ht="30" customHeight="1">
      <c r="A20" s="37">
        <v>684</v>
      </c>
      <c r="B20" s="258" t="s">
        <v>315</v>
      </c>
      <c r="C20" s="96" t="s">
        <v>52</v>
      </c>
      <c r="D20" s="40" t="s">
        <v>17</v>
      </c>
      <c r="E20" s="41" t="s">
        <v>25</v>
      </c>
      <c r="F20" s="56">
        <v>20</v>
      </c>
      <c r="G20" s="53">
        <v>398.2</v>
      </c>
      <c r="H20" s="40" t="s">
        <v>19</v>
      </c>
      <c r="I20" s="100"/>
    </row>
    <row r="21" spans="1:9" s="5" customFormat="1" ht="30" customHeight="1">
      <c r="A21" s="37">
        <v>685</v>
      </c>
      <c r="B21" s="140" t="s">
        <v>316</v>
      </c>
      <c r="C21" s="40" t="s">
        <v>294</v>
      </c>
      <c r="D21" s="40" t="s">
        <v>17</v>
      </c>
      <c r="E21" s="41" t="s">
        <v>25</v>
      </c>
      <c r="F21" s="56">
        <v>4</v>
      </c>
      <c r="G21" s="53">
        <v>5200</v>
      </c>
      <c r="H21" s="40" t="s">
        <v>19</v>
      </c>
      <c r="I21" s="100"/>
    </row>
    <row r="22" spans="1:9" s="5" customFormat="1" ht="30" customHeight="1">
      <c r="A22" s="37">
        <v>686</v>
      </c>
      <c r="B22" s="259" t="s">
        <v>317</v>
      </c>
      <c r="C22" s="137" t="s">
        <v>44</v>
      </c>
      <c r="D22" s="40" t="s">
        <v>17</v>
      </c>
      <c r="E22" s="41" t="s">
        <v>25</v>
      </c>
      <c r="F22" s="56">
        <v>1</v>
      </c>
      <c r="G22" s="53">
        <v>380</v>
      </c>
      <c r="H22" s="40" t="s">
        <v>19</v>
      </c>
      <c r="I22" s="100"/>
    </row>
    <row r="23" spans="1:12" ht="30" customHeight="1">
      <c r="A23" s="37">
        <v>687</v>
      </c>
      <c r="B23" s="38" t="s">
        <v>57</v>
      </c>
      <c r="C23" s="40" t="s">
        <v>58</v>
      </c>
      <c r="D23" s="40" t="s">
        <v>17</v>
      </c>
      <c r="E23" s="41" t="s">
        <v>25</v>
      </c>
      <c r="F23" s="41">
        <v>1</v>
      </c>
      <c r="G23" s="53">
        <v>2500.2</v>
      </c>
      <c r="H23" s="155" t="s">
        <v>19</v>
      </c>
      <c r="I23" s="100"/>
      <c r="L23" s="74"/>
    </row>
    <row r="24" spans="1:14" s="10" customFormat="1" ht="30" customHeight="1">
      <c r="A24" s="296"/>
      <c r="B24" s="260" t="s">
        <v>59</v>
      </c>
      <c r="C24" s="261"/>
      <c r="D24" s="262"/>
      <c r="E24" s="263"/>
      <c r="F24" s="263"/>
      <c r="G24" s="333">
        <f>SUM(G9:G23)</f>
        <v>22560.000000000004</v>
      </c>
      <c r="H24" s="265"/>
      <c r="I24" s="100"/>
      <c r="K24" s="10">
        <f>SUM(K9:K23)</f>
        <v>3295.85</v>
      </c>
      <c r="L24" s="267">
        <f>G24-K24</f>
        <v>19264.150000000005</v>
      </c>
      <c r="M24" s="10">
        <f>3085+15435.3+4080</f>
        <v>22600.3</v>
      </c>
      <c r="N24" s="10">
        <f>K24-M24</f>
        <v>-19304.45</v>
      </c>
    </row>
    <row r="25" spans="1:9" ht="29.25" customHeight="1">
      <c r="A25" s="37">
        <v>688</v>
      </c>
      <c r="B25" s="38" t="s">
        <v>318</v>
      </c>
      <c r="C25" s="40" t="s">
        <v>108</v>
      </c>
      <c r="D25" s="40" t="s">
        <v>109</v>
      </c>
      <c r="E25" s="41" t="s">
        <v>110</v>
      </c>
      <c r="F25" s="41">
        <v>1</v>
      </c>
      <c r="G25" s="53">
        <v>94.4</v>
      </c>
      <c r="H25" s="40" t="s">
        <v>63</v>
      </c>
      <c r="I25" s="100"/>
    </row>
    <row r="26" spans="1:12" ht="29.25" customHeight="1">
      <c r="A26" s="37">
        <v>689</v>
      </c>
      <c r="B26" s="38" t="s">
        <v>111</v>
      </c>
      <c r="C26" s="40" t="s">
        <v>112</v>
      </c>
      <c r="D26" s="40" t="s">
        <v>109</v>
      </c>
      <c r="E26" s="41" t="s">
        <v>319</v>
      </c>
      <c r="F26" s="41">
        <v>1200</v>
      </c>
      <c r="G26" s="53">
        <v>2880</v>
      </c>
      <c r="H26" s="40" t="s">
        <v>63</v>
      </c>
      <c r="I26" s="100"/>
      <c r="K26" s="12">
        <f>250+300</f>
        <v>550</v>
      </c>
      <c r="L26" s="74">
        <f>G26-K26</f>
        <v>2330</v>
      </c>
    </row>
    <row r="27" spans="1:12" ht="29.25" customHeight="1">
      <c r="A27" s="37">
        <v>690</v>
      </c>
      <c r="B27" s="38" t="s">
        <v>115</v>
      </c>
      <c r="C27" s="40" t="s">
        <v>116</v>
      </c>
      <c r="D27" s="40" t="s">
        <v>109</v>
      </c>
      <c r="E27" s="41" t="s">
        <v>113</v>
      </c>
      <c r="F27" s="50" t="s">
        <v>117</v>
      </c>
      <c r="G27" s="53">
        <v>627</v>
      </c>
      <c r="H27" s="40" t="s">
        <v>63</v>
      </c>
      <c r="I27" s="100"/>
      <c r="K27" s="12">
        <v>157.68</v>
      </c>
      <c r="L27" s="74">
        <f>G27-K27</f>
        <v>469.32</v>
      </c>
    </row>
    <row r="28" spans="1:12" ht="29.25" customHeight="1">
      <c r="A28" s="37">
        <v>691</v>
      </c>
      <c r="B28" s="38" t="s">
        <v>320</v>
      </c>
      <c r="C28" s="40" t="s">
        <v>239</v>
      </c>
      <c r="D28" s="40" t="s">
        <v>109</v>
      </c>
      <c r="E28" s="41" t="s">
        <v>285</v>
      </c>
      <c r="F28" s="41">
        <v>168</v>
      </c>
      <c r="G28" s="53">
        <v>497.28</v>
      </c>
      <c r="H28" s="40" t="s">
        <v>19</v>
      </c>
      <c r="I28" s="100"/>
      <c r="L28" s="74"/>
    </row>
    <row r="29" spans="1:12" ht="29.25" customHeight="1">
      <c r="A29" s="37">
        <v>692</v>
      </c>
      <c r="B29" s="38" t="s">
        <v>321</v>
      </c>
      <c r="C29" s="40" t="s">
        <v>239</v>
      </c>
      <c r="D29" s="40" t="s">
        <v>109</v>
      </c>
      <c r="E29" s="41" t="s">
        <v>285</v>
      </c>
      <c r="F29" s="41">
        <v>968.2</v>
      </c>
      <c r="G29" s="53">
        <v>2497.96</v>
      </c>
      <c r="H29" s="40" t="s">
        <v>19</v>
      </c>
      <c r="I29" s="100"/>
      <c r="K29" s="12">
        <v>2995.24</v>
      </c>
      <c r="L29" s="74">
        <f>G29-K29</f>
        <v>-497.27999999999975</v>
      </c>
    </row>
    <row r="30" spans="1:12" ht="29.25" customHeight="1">
      <c r="A30" s="37">
        <v>693</v>
      </c>
      <c r="B30" s="38" t="s">
        <v>322</v>
      </c>
      <c r="C30" s="40" t="s">
        <v>323</v>
      </c>
      <c r="D30" s="40" t="s">
        <v>109</v>
      </c>
      <c r="E30" s="41" t="s">
        <v>120</v>
      </c>
      <c r="F30" s="41" t="s">
        <v>324</v>
      </c>
      <c r="G30" s="53">
        <v>3809.36</v>
      </c>
      <c r="H30" s="40" t="s">
        <v>63</v>
      </c>
      <c r="I30" s="100"/>
      <c r="K30" s="12">
        <f>767.29+671.87</f>
        <v>1439.1599999999999</v>
      </c>
      <c r="L30" s="74">
        <f>G30-K30</f>
        <v>2370.2000000000003</v>
      </c>
    </row>
    <row r="31" spans="1:13" ht="29.25" customHeight="1">
      <c r="A31" s="37">
        <v>694</v>
      </c>
      <c r="B31" s="38" t="s">
        <v>325</v>
      </c>
      <c r="C31" s="40" t="s">
        <v>326</v>
      </c>
      <c r="D31" s="40" t="s">
        <v>109</v>
      </c>
      <c r="E31" s="41" t="s">
        <v>113</v>
      </c>
      <c r="F31" s="41" t="s">
        <v>117</v>
      </c>
      <c r="G31" s="53">
        <v>2406</v>
      </c>
      <c r="H31" s="40" t="s">
        <v>63</v>
      </c>
      <c r="I31" s="100"/>
      <c r="K31" s="12">
        <v>470.96</v>
      </c>
      <c r="L31" s="74">
        <f>G31-K31</f>
        <v>1935.04</v>
      </c>
      <c r="M31" s="12">
        <v>1412.88</v>
      </c>
    </row>
    <row r="32" spans="1:12" ht="45" customHeight="1">
      <c r="A32" s="37">
        <v>695</v>
      </c>
      <c r="B32" s="38" t="s">
        <v>128</v>
      </c>
      <c r="C32" s="40" t="s">
        <v>129</v>
      </c>
      <c r="D32" s="40" t="s">
        <v>109</v>
      </c>
      <c r="E32" s="41" t="s">
        <v>25</v>
      </c>
      <c r="F32" s="41">
        <v>1</v>
      </c>
      <c r="G32" s="280">
        <v>57174</v>
      </c>
      <c r="H32" s="155" t="s">
        <v>63</v>
      </c>
      <c r="I32" s="100"/>
      <c r="L32" s="74"/>
    </row>
    <row r="33" spans="1:12" ht="45" customHeight="1">
      <c r="A33" s="37">
        <v>696</v>
      </c>
      <c r="B33" s="266" t="s">
        <v>327</v>
      </c>
      <c r="C33" s="40" t="s">
        <v>328</v>
      </c>
      <c r="D33" s="40" t="s">
        <v>109</v>
      </c>
      <c r="E33" s="41" t="s">
        <v>25</v>
      </c>
      <c r="F33" s="41">
        <v>4</v>
      </c>
      <c r="G33" s="53">
        <v>650</v>
      </c>
      <c r="H33" s="40" t="s">
        <v>132</v>
      </c>
      <c r="I33" s="100"/>
      <c r="L33" s="74"/>
    </row>
    <row r="34" spans="1:12" ht="30" customHeight="1">
      <c r="A34" s="37">
        <v>697</v>
      </c>
      <c r="B34" s="38" t="s">
        <v>130</v>
      </c>
      <c r="C34" s="40" t="s">
        <v>131</v>
      </c>
      <c r="D34" s="40" t="s">
        <v>109</v>
      </c>
      <c r="E34" s="41" t="s">
        <v>25</v>
      </c>
      <c r="F34" s="41">
        <v>3</v>
      </c>
      <c r="G34" s="53">
        <v>840</v>
      </c>
      <c r="H34" s="40" t="s">
        <v>132</v>
      </c>
      <c r="I34" s="100"/>
      <c r="K34" s="12">
        <f>280+280+560+560</f>
        <v>1680</v>
      </c>
      <c r="L34" s="74">
        <f>G34-K34</f>
        <v>-840</v>
      </c>
    </row>
    <row r="35" spans="1:12" s="10" customFormat="1" ht="30" customHeight="1">
      <c r="A35" s="296"/>
      <c r="B35" s="260" t="s">
        <v>136</v>
      </c>
      <c r="C35" s="261"/>
      <c r="D35" s="262"/>
      <c r="E35" s="263"/>
      <c r="F35" s="263"/>
      <c r="G35" s="333">
        <f>SUM(G25:G34)</f>
        <v>71476</v>
      </c>
      <c r="H35" s="265"/>
      <c r="I35" s="100"/>
      <c r="K35" s="267">
        <f>SUM(K25:K34)</f>
        <v>7293.04</v>
      </c>
      <c r="L35" s="267">
        <f>SUM(L26:L34)</f>
        <v>5767.280000000001</v>
      </c>
    </row>
    <row r="36" spans="1:11" ht="30" customHeight="1">
      <c r="A36" s="37">
        <v>698</v>
      </c>
      <c r="B36" s="38" t="s">
        <v>137</v>
      </c>
      <c r="C36" s="52" t="s">
        <v>138</v>
      </c>
      <c r="D36" s="40" t="s">
        <v>139</v>
      </c>
      <c r="E36" s="41" t="s">
        <v>140</v>
      </c>
      <c r="F36" s="53">
        <f>G36/67.76</f>
        <v>4279.073199527745</v>
      </c>
      <c r="G36" s="295">
        <v>289950</v>
      </c>
      <c r="H36" s="40" t="s">
        <v>63</v>
      </c>
      <c r="I36" s="100"/>
      <c r="K36" s="74">
        <f>119950</f>
        <v>119950</v>
      </c>
    </row>
    <row r="37" spans="1:9" s="10" customFormat="1" ht="30" customHeight="1">
      <c r="A37" s="296"/>
      <c r="B37" s="260" t="s">
        <v>141</v>
      </c>
      <c r="C37" s="261"/>
      <c r="D37" s="262"/>
      <c r="E37" s="263"/>
      <c r="F37" s="263"/>
      <c r="G37" s="297">
        <f>SUM(G36:G36)</f>
        <v>289950</v>
      </c>
      <c r="H37" s="265"/>
      <c r="I37" s="100"/>
    </row>
    <row r="38" spans="1:9" ht="30" customHeight="1">
      <c r="A38" s="37">
        <v>699</v>
      </c>
      <c r="B38" s="38" t="s">
        <v>142</v>
      </c>
      <c r="C38" s="54" t="s">
        <v>143</v>
      </c>
      <c r="D38" s="40" t="s">
        <v>144</v>
      </c>
      <c r="E38" s="41" t="s">
        <v>145</v>
      </c>
      <c r="F38" s="56">
        <f>G38/4.143</f>
        <v>2074.583635047067</v>
      </c>
      <c r="G38" s="295">
        <v>8595</v>
      </c>
      <c r="H38" s="40" t="s">
        <v>63</v>
      </c>
      <c r="I38" s="100"/>
    </row>
    <row r="39" spans="1:9" s="10" customFormat="1" ht="30" customHeight="1">
      <c r="A39" s="296"/>
      <c r="B39" s="260" t="s">
        <v>146</v>
      </c>
      <c r="C39" s="261"/>
      <c r="D39" s="262"/>
      <c r="E39" s="263"/>
      <c r="F39" s="263"/>
      <c r="G39" s="297">
        <f>G38</f>
        <v>8595</v>
      </c>
      <c r="H39" s="265"/>
      <c r="I39" s="100"/>
    </row>
    <row r="40" spans="1:9" ht="22.5" customHeight="1">
      <c r="A40" s="19"/>
      <c r="B40" s="208" t="s">
        <v>151</v>
      </c>
      <c r="C40" s="167"/>
      <c r="D40" s="168"/>
      <c r="E40" s="207"/>
      <c r="F40" s="170"/>
      <c r="G40" s="304"/>
      <c r="H40" s="171"/>
      <c r="I40" s="223"/>
    </row>
    <row r="41" spans="1:9" ht="22.5" customHeight="1">
      <c r="A41" s="19"/>
      <c r="B41" s="106" t="s">
        <v>152</v>
      </c>
      <c r="C41" s="107"/>
      <c r="D41" s="108" t="s">
        <v>153</v>
      </c>
      <c r="E41" s="109"/>
      <c r="F41" s="109"/>
      <c r="G41" s="304"/>
      <c r="H41" s="171"/>
      <c r="I41" s="223"/>
    </row>
    <row r="42" spans="1:9" s="8" customFormat="1" ht="22.5" customHeight="1">
      <c r="A42" s="19"/>
      <c r="B42" s="111"/>
      <c r="C42" s="9"/>
      <c r="D42" s="112" t="s">
        <v>154</v>
      </c>
      <c r="E42" s="113" t="s">
        <v>155</v>
      </c>
      <c r="F42" s="114"/>
      <c r="G42" s="304"/>
      <c r="H42" s="171"/>
      <c r="I42" s="223"/>
    </row>
    <row r="43" spans="1:9" s="8" customFormat="1" ht="22.5" customHeight="1">
      <c r="A43" s="19"/>
      <c r="B43" s="115" t="s">
        <v>156</v>
      </c>
      <c r="C43" s="116"/>
      <c r="D43" s="108" t="s">
        <v>157</v>
      </c>
      <c r="E43" s="109"/>
      <c r="F43" s="109"/>
      <c r="G43" s="304"/>
      <c r="H43" s="171"/>
      <c r="I43" s="223"/>
    </row>
    <row r="44" spans="1:9" ht="22.5" customHeight="1">
      <c r="A44" s="19"/>
      <c r="B44" s="111"/>
      <c r="C44" s="9"/>
      <c r="D44" s="112" t="s">
        <v>154</v>
      </c>
      <c r="E44" s="113"/>
      <c r="F44" s="114"/>
      <c r="G44" s="304"/>
      <c r="H44" s="8"/>
      <c r="I44" s="141"/>
    </row>
    <row r="45" spans="1:9" s="8" customFormat="1" ht="22.5" customHeight="1">
      <c r="A45" s="19"/>
      <c r="B45" s="115" t="s">
        <v>158</v>
      </c>
      <c r="C45" s="9"/>
      <c r="D45" s="9"/>
      <c r="E45" s="9"/>
      <c r="F45" s="9"/>
      <c r="G45" s="304"/>
      <c r="H45" s="171"/>
      <c r="I45" s="223"/>
    </row>
    <row r="46" spans="1:9" s="2" customFormat="1" ht="30" customHeight="1">
      <c r="A46" s="169"/>
      <c r="B46" s="229" t="s">
        <v>159</v>
      </c>
      <c r="C46" s="167"/>
      <c r="D46" s="291" t="s">
        <v>160</v>
      </c>
      <c r="E46" s="229"/>
      <c r="F46" s="170"/>
      <c r="G46" s="307"/>
      <c r="H46" s="171"/>
      <c r="I46" s="326"/>
    </row>
    <row r="47" spans="1:9" ht="22.5" customHeight="1">
      <c r="A47" s="19"/>
      <c r="B47" s="230" t="s">
        <v>161</v>
      </c>
      <c r="C47" s="167"/>
      <c r="D47" s="168"/>
      <c r="E47" s="207"/>
      <c r="F47" s="170"/>
      <c r="G47" s="304"/>
      <c r="H47" s="171"/>
      <c r="I47" s="223"/>
    </row>
  </sheetData>
  <sheetProtection/>
  <mergeCells count="16">
    <mergeCell ref="F1:G1"/>
    <mergeCell ref="A2:I2"/>
    <mergeCell ref="B24:C24"/>
    <mergeCell ref="B35:C35"/>
    <mergeCell ref="B37:C37"/>
    <mergeCell ref="B39:C39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39"/>
  </mergeCells>
  <hyperlinks>
    <hyperlink ref="C23" r:id="rId1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7"/>
  <sheetViews>
    <sheetView view="pageBreakPreview" zoomScale="90" zoomScaleNormal="90" zoomScaleSheetLayoutView="90" workbookViewId="0" topLeftCell="A40">
      <selection activeCell="C54" sqref="C54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317" t="s">
        <v>329</v>
      </c>
      <c r="B2" s="317"/>
      <c r="C2" s="317"/>
      <c r="D2" s="317"/>
      <c r="E2" s="317"/>
      <c r="F2" s="317"/>
      <c r="G2" s="317"/>
      <c r="H2" s="317"/>
      <c r="I2" s="317"/>
    </row>
    <row r="3" spans="3:9" ht="15" customHeight="1">
      <c r="C3" s="124"/>
      <c r="D3" s="125" t="s">
        <v>4</v>
      </c>
      <c r="E3" s="124"/>
      <c r="F3" s="124"/>
      <c r="G3" s="3"/>
      <c r="H3" s="16"/>
      <c r="I3" s="16"/>
    </row>
    <row r="4" ht="15" customHeight="1"/>
    <row r="5" spans="1:11" ht="15.75" customHeight="1">
      <c r="A5" s="26" t="s">
        <v>5</v>
      </c>
      <c r="B5" s="27" t="s">
        <v>6</v>
      </c>
      <c r="C5" s="28" t="s">
        <v>7</v>
      </c>
      <c r="D5" s="28" t="s">
        <v>249</v>
      </c>
      <c r="E5" s="28" t="s">
        <v>9</v>
      </c>
      <c r="F5" s="28" t="s">
        <v>10</v>
      </c>
      <c r="G5" s="28" t="s">
        <v>250</v>
      </c>
      <c r="H5" s="28" t="s">
        <v>251</v>
      </c>
      <c r="I5" s="28" t="s">
        <v>13</v>
      </c>
      <c r="J5" s="71"/>
      <c r="K5" s="71"/>
    </row>
    <row r="6" spans="1:9" ht="31.5" customHeight="1">
      <c r="A6" s="29"/>
      <c r="B6" s="30"/>
      <c r="C6" s="31"/>
      <c r="D6" s="31"/>
      <c r="E6" s="31"/>
      <c r="F6" s="31"/>
      <c r="G6" s="31"/>
      <c r="H6" s="31"/>
      <c r="I6" s="31"/>
    </row>
    <row r="7" spans="1:9" ht="37.5" customHeight="1">
      <c r="A7" s="32"/>
      <c r="B7" s="33"/>
      <c r="C7" s="34"/>
      <c r="D7" s="34"/>
      <c r="E7" s="34"/>
      <c r="F7" s="34"/>
      <c r="G7" s="34"/>
      <c r="H7" s="34"/>
      <c r="I7" s="34"/>
    </row>
    <row r="8" spans="1:9" ht="20.25" customHeight="1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72">
        <v>9</v>
      </c>
    </row>
    <row r="9" spans="1:9" ht="30" customHeight="1">
      <c r="A9" s="37">
        <v>617</v>
      </c>
      <c r="B9" s="160" t="s">
        <v>330</v>
      </c>
      <c r="C9" s="39" t="s">
        <v>40</v>
      </c>
      <c r="D9" s="133" t="s">
        <v>17</v>
      </c>
      <c r="E9" s="41" t="s">
        <v>25</v>
      </c>
      <c r="F9" s="41">
        <v>4</v>
      </c>
      <c r="G9" s="53">
        <v>837.8</v>
      </c>
      <c r="H9" s="155" t="s">
        <v>19</v>
      </c>
      <c r="I9" s="73" t="s">
        <v>253</v>
      </c>
    </row>
    <row r="10" spans="1:9" ht="45" customHeight="1">
      <c r="A10" s="32">
        <v>618</v>
      </c>
      <c r="B10" s="134" t="s">
        <v>331</v>
      </c>
      <c r="C10" s="43" t="s">
        <v>332</v>
      </c>
      <c r="D10" s="133" t="s">
        <v>17</v>
      </c>
      <c r="E10" s="34" t="s">
        <v>25</v>
      </c>
      <c r="F10" s="34">
        <v>1</v>
      </c>
      <c r="G10" s="332">
        <v>2200</v>
      </c>
      <c r="H10" s="155" t="s">
        <v>19</v>
      </c>
      <c r="I10" s="100"/>
    </row>
    <row r="11" spans="1:9" ht="30" customHeight="1">
      <c r="A11" s="37">
        <v>619</v>
      </c>
      <c r="B11" s="134" t="s">
        <v>333</v>
      </c>
      <c r="C11" s="43" t="s">
        <v>334</v>
      </c>
      <c r="D11" s="133" t="s">
        <v>17</v>
      </c>
      <c r="E11" s="34" t="s">
        <v>25</v>
      </c>
      <c r="F11" s="34">
        <v>3</v>
      </c>
      <c r="G11" s="332">
        <v>825.78</v>
      </c>
      <c r="H11" s="155" t="s">
        <v>19</v>
      </c>
      <c r="I11" s="100"/>
    </row>
    <row r="12" spans="1:9" ht="30" customHeight="1">
      <c r="A12" s="32">
        <v>620</v>
      </c>
      <c r="B12" s="134" t="s">
        <v>335</v>
      </c>
      <c r="C12" s="43" t="s">
        <v>260</v>
      </c>
      <c r="D12" s="133" t="s">
        <v>17</v>
      </c>
      <c r="E12" s="34" t="s">
        <v>25</v>
      </c>
      <c r="F12" s="34">
        <v>1</v>
      </c>
      <c r="G12" s="332">
        <v>3500</v>
      </c>
      <c r="H12" s="155" t="s">
        <v>19</v>
      </c>
      <c r="I12" s="100"/>
    </row>
    <row r="13" spans="1:9" ht="30" customHeight="1">
      <c r="A13" s="37">
        <v>621</v>
      </c>
      <c r="B13" s="134" t="s">
        <v>336</v>
      </c>
      <c r="C13" s="43" t="s">
        <v>54</v>
      </c>
      <c r="D13" s="133" t="s">
        <v>17</v>
      </c>
      <c r="E13" s="34" t="s">
        <v>25</v>
      </c>
      <c r="F13" s="34">
        <v>5</v>
      </c>
      <c r="G13" s="332">
        <v>453.4</v>
      </c>
      <c r="H13" s="155" t="s">
        <v>19</v>
      </c>
      <c r="I13" s="100"/>
    </row>
    <row r="14" spans="1:9" ht="30" customHeight="1">
      <c r="A14" s="32">
        <v>622</v>
      </c>
      <c r="B14" s="134" t="s">
        <v>337</v>
      </c>
      <c r="C14" s="43" t="s">
        <v>56</v>
      </c>
      <c r="D14" s="133" t="s">
        <v>17</v>
      </c>
      <c r="E14" s="34" t="s">
        <v>25</v>
      </c>
      <c r="F14" s="34">
        <v>1</v>
      </c>
      <c r="G14" s="332">
        <v>1300</v>
      </c>
      <c r="H14" s="155" t="s">
        <v>19</v>
      </c>
      <c r="I14" s="100"/>
    </row>
    <row r="15" spans="1:9" ht="30" customHeight="1">
      <c r="A15" s="37">
        <v>623</v>
      </c>
      <c r="B15" s="134" t="s">
        <v>338</v>
      </c>
      <c r="C15" s="43" t="s">
        <v>339</v>
      </c>
      <c r="D15" s="43" t="s">
        <v>340</v>
      </c>
      <c r="E15" s="34" t="s">
        <v>25</v>
      </c>
      <c r="F15" s="34">
        <v>1</v>
      </c>
      <c r="G15" s="34">
        <v>184.97</v>
      </c>
      <c r="H15" s="155" t="s">
        <v>19</v>
      </c>
      <c r="I15" s="100"/>
    </row>
    <row r="16" spans="1:9" ht="30" customHeight="1">
      <c r="A16" s="32">
        <v>624</v>
      </c>
      <c r="B16" s="134" t="s">
        <v>341</v>
      </c>
      <c r="C16" s="43" t="s">
        <v>38</v>
      </c>
      <c r="D16" s="43" t="s">
        <v>340</v>
      </c>
      <c r="E16" s="34" t="s">
        <v>25</v>
      </c>
      <c r="F16" s="34">
        <v>2</v>
      </c>
      <c r="G16" s="34">
        <v>2160.8</v>
      </c>
      <c r="H16" s="155" t="s">
        <v>19</v>
      </c>
      <c r="I16" s="100"/>
    </row>
    <row r="17" spans="1:9" ht="30" customHeight="1">
      <c r="A17" s="37">
        <v>625</v>
      </c>
      <c r="B17" s="134" t="s">
        <v>342</v>
      </c>
      <c r="C17" s="43" t="s">
        <v>38</v>
      </c>
      <c r="D17" s="43" t="s">
        <v>340</v>
      </c>
      <c r="E17" s="34" t="s">
        <v>25</v>
      </c>
      <c r="F17" s="34">
        <v>2</v>
      </c>
      <c r="G17" s="34">
        <v>2520</v>
      </c>
      <c r="H17" s="155" t="s">
        <v>19</v>
      </c>
      <c r="I17" s="100"/>
    </row>
    <row r="18" spans="1:9" ht="30" customHeight="1">
      <c r="A18" s="32">
        <v>626</v>
      </c>
      <c r="B18" s="134" t="s">
        <v>343</v>
      </c>
      <c r="C18" s="43" t="s">
        <v>344</v>
      </c>
      <c r="D18" s="43" t="s">
        <v>340</v>
      </c>
      <c r="E18" s="34" t="s">
        <v>25</v>
      </c>
      <c r="F18" s="34">
        <v>3</v>
      </c>
      <c r="G18" s="34">
        <v>258</v>
      </c>
      <c r="H18" s="155" t="s">
        <v>19</v>
      </c>
      <c r="I18" s="100"/>
    </row>
    <row r="19" spans="1:9" ht="45" customHeight="1">
      <c r="A19" s="37">
        <v>627</v>
      </c>
      <c r="B19" s="134" t="s">
        <v>345</v>
      </c>
      <c r="C19" s="43" t="s">
        <v>346</v>
      </c>
      <c r="D19" s="43" t="s">
        <v>340</v>
      </c>
      <c r="E19" s="34" t="s">
        <v>34</v>
      </c>
      <c r="F19" s="34">
        <v>2</v>
      </c>
      <c r="G19" s="34">
        <v>1980</v>
      </c>
      <c r="H19" s="155" t="s">
        <v>19</v>
      </c>
      <c r="I19" s="100"/>
    </row>
    <row r="20" spans="1:15" ht="30" customHeight="1">
      <c r="A20" s="32">
        <v>628</v>
      </c>
      <c r="B20" s="160" t="s">
        <v>15</v>
      </c>
      <c r="C20" s="43" t="s">
        <v>347</v>
      </c>
      <c r="D20" s="43" t="s">
        <v>340</v>
      </c>
      <c r="E20" s="41" t="s">
        <v>18</v>
      </c>
      <c r="F20" s="41">
        <v>10</v>
      </c>
      <c r="G20" s="53">
        <v>2100</v>
      </c>
      <c r="H20" s="155" t="s">
        <v>19</v>
      </c>
      <c r="I20" s="100"/>
      <c r="L20" s="74">
        <f>G20-K20</f>
        <v>2100</v>
      </c>
      <c r="N20" s="12">
        <v>3</v>
      </c>
      <c r="O20" s="12">
        <v>780</v>
      </c>
    </row>
    <row r="21" spans="1:14" ht="30" customHeight="1">
      <c r="A21" s="37">
        <v>629</v>
      </c>
      <c r="B21" s="253" t="s">
        <v>348</v>
      </c>
      <c r="C21" s="43" t="s">
        <v>24</v>
      </c>
      <c r="D21" s="43" t="s">
        <v>340</v>
      </c>
      <c r="E21" s="41" t="s">
        <v>25</v>
      </c>
      <c r="F21" s="41">
        <v>2</v>
      </c>
      <c r="G21" s="53">
        <v>347.12</v>
      </c>
      <c r="H21" s="155" t="s">
        <v>19</v>
      </c>
      <c r="I21" s="100"/>
      <c r="L21" s="74">
        <f>G21-K21</f>
        <v>347.12</v>
      </c>
      <c r="M21" s="12">
        <v>20</v>
      </c>
      <c r="N21" s="12">
        <f>10960-8220</f>
        <v>2740</v>
      </c>
    </row>
    <row r="22" spans="1:14" ht="60" customHeight="1">
      <c r="A22" s="32">
        <v>630</v>
      </c>
      <c r="B22" s="253" t="s">
        <v>349</v>
      </c>
      <c r="C22" s="43" t="s">
        <v>21</v>
      </c>
      <c r="D22" s="43" t="s">
        <v>340</v>
      </c>
      <c r="E22" s="41" t="s">
        <v>25</v>
      </c>
      <c r="F22" s="41">
        <v>3</v>
      </c>
      <c r="G22" s="53">
        <v>1111.32</v>
      </c>
      <c r="H22" s="155" t="s">
        <v>19</v>
      </c>
      <c r="I22" s="100"/>
      <c r="L22" s="74">
        <f>G22-K22</f>
        <v>1111.32</v>
      </c>
      <c r="M22" s="12">
        <v>20</v>
      </c>
      <c r="N22" s="12">
        <f>10960-8220</f>
        <v>2740</v>
      </c>
    </row>
    <row r="23" spans="1:12" s="5" customFormat="1" ht="30" customHeight="1">
      <c r="A23" s="37">
        <v>631</v>
      </c>
      <c r="B23" s="254" t="s">
        <v>350</v>
      </c>
      <c r="C23" s="136" t="s">
        <v>27</v>
      </c>
      <c r="D23" s="43" t="s">
        <v>340</v>
      </c>
      <c r="E23" s="41" t="s">
        <v>25</v>
      </c>
      <c r="F23" s="41">
        <v>7</v>
      </c>
      <c r="G23" s="53">
        <v>415.45</v>
      </c>
      <c r="H23" s="155" t="s">
        <v>19</v>
      </c>
      <c r="I23" s="100"/>
      <c r="L23" s="165"/>
    </row>
    <row r="24" spans="1:12" s="5" customFormat="1" ht="30" customHeight="1">
      <c r="A24" s="32">
        <v>632</v>
      </c>
      <c r="B24" s="253" t="s">
        <v>351</v>
      </c>
      <c r="C24" s="136" t="s">
        <v>31</v>
      </c>
      <c r="D24" s="43" t="s">
        <v>340</v>
      </c>
      <c r="E24" s="41" t="s">
        <v>25</v>
      </c>
      <c r="F24" s="41">
        <v>3</v>
      </c>
      <c r="G24" s="53">
        <v>78.78</v>
      </c>
      <c r="H24" s="155" t="s">
        <v>19</v>
      </c>
      <c r="I24" s="100"/>
      <c r="L24" s="165"/>
    </row>
    <row r="25" spans="1:12" ht="30" customHeight="1">
      <c r="A25" s="37">
        <v>633</v>
      </c>
      <c r="B25" s="38" t="s">
        <v>57</v>
      </c>
      <c r="C25" s="40" t="s">
        <v>58</v>
      </c>
      <c r="D25" s="40" t="s">
        <v>17</v>
      </c>
      <c r="E25" s="41" t="s">
        <v>25</v>
      </c>
      <c r="F25" s="41">
        <v>1</v>
      </c>
      <c r="G25" s="53">
        <v>2500.2</v>
      </c>
      <c r="H25" s="155" t="s">
        <v>19</v>
      </c>
      <c r="I25" s="100"/>
      <c r="L25" s="74"/>
    </row>
    <row r="26" spans="1:12" ht="45" customHeight="1">
      <c r="A26" s="32">
        <v>634</v>
      </c>
      <c r="B26" s="253" t="s">
        <v>352</v>
      </c>
      <c r="C26" s="43" t="s">
        <v>27</v>
      </c>
      <c r="D26" s="43" t="s">
        <v>340</v>
      </c>
      <c r="E26" s="41" t="s">
        <v>25</v>
      </c>
      <c r="F26" s="41">
        <v>1</v>
      </c>
      <c r="G26" s="53">
        <v>176.38</v>
      </c>
      <c r="H26" s="255" t="s">
        <v>19</v>
      </c>
      <c r="I26" s="100"/>
      <c r="L26" s="74">
        <f>G26-K26</f>
        <v>176.38</v>
      </c>
    </row>
    <row r="27" spans="1:12" s="10" customFormat="1" ht="30" customHeight="1">
      <c r="A27" s="296"/>
      <c r="B27" s="308" t="s">
        <v>59</v>
      </c>
      <c r="C27" s="261"/>
      <c r="D27" s="262"/>
      <c r="E27" s="263"/>
      <c r="F27" s="263"/>
      <c r="G27" s="297">
        <f>SUM(G9:G26)</f>
        <v>22950</v>
      </c>
      <c r="H27" s="265"/>
      <c r="I27" s="31"/>
      <c r="K27" s="10">
        <f>SUM(K9:K26)</f>
        <v>0</v>
      </c>
      <c r="L27" s="267">
        <f>G27-K27</f>
        <v>22950</v>
      </c>
    </row>
    <row r="28" spans="1:12" ht="30" customHeight="1">
      <c r="A28" s="37">
        <v>635</v>
      </c>
      <c r="B28" s="38" t="s">
        <v>220</v>
      </c>
      <c r="C28" s="40" t="s">
        <v>221</v>
      </c>
      <c r="D28" s="40" t="s">
        <v>62</v>
      </c>
      <c r="E28" s="41" t="s">
        <v>34</v>
      </c>
      <c r="F28" s="69">
        <v>6</v>
      </c>
      <c r="G28" s="295">
        <v>80.4</v>
      </c>
      <c r="H28" s="255" t="s">
        <v>63</v>
      </c>
      <c r="I28" s="31"/>
      <c r="L28" s="74"/>
    </row>
    <row r="29" spans="1:12" ht="30" customHeight="1">
      <c r="A29" s="37">
        <v>636</v>
      </c>
      <c r="B29" s="38" t="s">
        <v>268</v>
      </c>
      <c r="C29" s="40" t="s">
        <v>70</v>
      </c>
      <c r="D29" s="40" t="s">
        <v>62</v>
      </c>
      <c r="E29" s="41" t="s">
        <v>34</v>
      </c>
      <c r="F29" s="69">
        <v>2</v>
      </c>
      <c r="G29" s="295">
        <v>40</v>
      </c>
      <c r="H29" s="255" t="s">
        <v>63</v>
      </c>
      <c r="I29" s="31"/>
      <c r="L29" s="74"/>
    </row>
    <row r="30" spans="1:12" ht="30" customHeight="1">
      <c r="A30" s="37">
        <v>637</v>
      </c>
      <c r="B30" s="38" t="s">
        <v>64</v>
      </c>
      <c r="C30" s="40" t="s">
        <v>65</v>
      </c>
      <c r="D30" s="40" t="s">
        <v>62</v>
      </c>
      <c r="E30" s="41" t="s">
        <v>34</v>
      </c>
      <c r="F30" s="69">
        <v>350</v>
      </c>
      <c r="G30" s="295">
        <v>5950</v>
      </c>
      <c r="H30" s="255" t="s">
        <v>63</v>
      </c>
      <c r="I30" s="31"/>
      <c r="L30" s="74"/>
    </row>
    <row r="31" spans="1:12" ht="30" customHeight="1">
      <c r="A31" s="37">
        <v>638</v>
      </c>
      <c r="B31" s="38" t="s">
        <v>71</v>
      </c>
      <c r="C31" s="71" t="s">
        <v>72</v>
      </c>
      <c r="D31" s="40" t="s">
        <v>62</v>
      </c>
      <c r="E31" s="41" t="s">
        <v>34</v>
      </c>
      <c r="F31" s="69">
        <v>30</v>
      </c>
      <c r="G31" s="295">
        <v>476</v>
      </c>
      <c r="H31" s="255" t="s">
        <v>63</v>
      </c>
      <c r="I31" s="31"/>
      <c r="L31" s="74"/>
    </row>
    <row r="32" spans="1:12" ht="45" customHeight="1">
      <c r="A32" s="37">
        <v>639</v>
      </c>
      <c r="B32" s="38" t="s">
        <v>73</v>
      </c>
      <c r="C32" s="40" t="s">
        <v>74</v>
      </c>
      <c r="D32" s="40" t="s">
        <v>62</v>
      </c>
      <c r="E32" s="41" t="s">
        <v>34</v>
      </c>
      <c r="F32" s="69">
        <v>15</v>
      </c>
      <c r="G32" s="295">
        <v>352</v>
      </c>
      <c r="H32" s="255" t="s">
        <v>63</v>
      </c>
      <c r="I32" s="31"/>
      <c r="L32" s="74"/>
    </row>
    <row r="33" spans="1:12" ht="30" customHeight="1">
      <c r="A33" s="37">
        <v>640</v>
      </c>
      <c r="B33" s="38" t="s">
        <v>78</v>
      </c>
      <c r="C33" s="40" t="s">
        <v>79</v>
      </c>
      <c r="D33" s="40" t="s">
        <v>62</v>
      </c>
      <c r="E33" s="41" t="s">
        <v>34</v>
      </c>
      <c r="F33" s="69">
        <v>12</v>
      </c>
      <c r="G33" s="295">
        <v>3693.9</v>
      </c>
      <c r="H33" s="255" t="s">
        <v>63</v>
      </c>
      <c r="I33" s="31"/>
      <c r="L33" s="74"/>
    </row>
    <row r="34" spans="1:12" ht="45" customHeight="1">
      <c r="A34" s="37">
        <v>641</v>
      </c>
      <c r="B34" s="38" t="s">
        <v>80</v>
      </c>
      <c r="C34" s="40" t="s">
        <v>81</v>
      </c>
      <c r="D34" s="40" t="s">
        <v>62</v>
      </c>
      <c r="E34" s="41" t="s">
        <v>82</v>
      </c>
      <c r="F34" s="69">
        <v>21.6</v>
      </c>
      <c r="G34" s="295">
        <v>876.96</v>
      </c>
      <c r="H34" s="255" t="s">
        <v>63</v>
      </c>
      <c r="I34" s="31"/>
      <c r="L34" s="74"/>
    </row>
    <row r="35" spans="1:12" ht="30" customHeight="1">
      <c r="A35" s="37">
        <v>642</v>
      </c>
      <c r="B35" s="38" t="s">
        <v>83</v>
      </c>
      <c r="C35" s="40" t="s">
        <v>72</v>
      </c>
      <c r="D35" s="40" t="s">
        <v>62</v>
      </c>
      <c r="E35" s="41" t="s">
        <v>34</v>
      </c>
      <c r="F35" s="69">
        <v>40</v>
      </c>
      <c r="G35" s="295">
        <v>1006</v>
      </c>
      <c r="H35" s="255" t="s">
        <v>63</v>
      </c>
      <c r="I35" s="31"/>
      <c r="L35" s="74"/>
    </row>
    <row r="36" spans="1:12" ht="45" customHeight="1">
      <c r="A36" s="37">
        <v>643</v>
      </c>
      <c r="B36" s="38" t="s">
        <v>84</v>
      </c>
      <c r="C36" s="40" t="s">
        <v>85</v>
      </c>
      <c r="D36" s="40" t="s">
        <v>62</v>
      </c>
      <c r="E36" s="41" t="s">
        <v>34</v>
      </c>
      <c r="F36" s="69">
        <v>21.7</v>
      </c>
      <c r="G36" s="295">
        <v>2549.94</v>
      </c>
      <c r="H36" s="255" t="s">
        <v>63</v>
      </c>
      <c r="I36" s="31"/>
      <c r="L36" s="74"/>
    </row>
    <row r="37" spans="1:12" ht="30" customHeight="1">
      <c r="A37" s="37">
        <v>644</v>
      </c>
      <c r="B37" s="344" t="s">
        <v>86</v>
      </c>
      <c r="C37" s="345" t="s">
        <v>87</v>
      </c>
      <c r="D37" s="40" t="s">
        <v>62</v>
      </c>
      <c r="E37" s="41" t="s">
        <v>34</v>
      </c>
      <c r="F37" s="69">
        <v>41</v>
      </c>
      <c r="G37" s="295">
        <v>5725.08</v>
      </c>
      <c r="H37" s="255" t="s">
        <v>63</v>
      </c>
      <c r="I37" s="31"/>
      <c r="L37" s="74"/>
    </row>
    <row r="38" spans="1:12" ht="30" customHeight="1">
      <c r="A38" s="37">
        <v>645</v>
      </c>
      <c r="B38" s="38" t="s">
        <v>88</v>
      </c>
      <c r="C38" s="40" t="s">
        <v>85</v>
      </c>
      <c r="D38" s="40" t="s">
        <v>62</v>
      </c>
      <c r="E38" s="41" t="s">
        <v>34</v>
      </c>
      <c r="F38" s="69">
        <v>15</v>
      </c>
      <c r="G38" s="295">
        <v>1862.5</v>
      </c>
      <c r="H38" s="255" t="s">
        <v>63</v>
      </c>
      <c r="I38" s="31"/>
      <c r="L38" s="74"/>
    </row>
    <row r="39" spans="1:12" ht="45" customHeight="1">
      <c r="A39" s="37">
        <v>646</v>
      </c>
      <c r="B39" s="38" t="s">
        <v>60</v>
      </c>
      <c r="C39" s="40" t="s">
        <v>61</v>
      </c>
      <c r="D39" s="40" t="s">
        <v>62</v>
      </c>
      <c r="E39" s="41" t="s">
        <v>34</v>
      </c>
      <c r="F39" s="69">
        <v>3.2</v>
      </c>
      <c r="G39" s="295">
        <v>139.52</v>
      </c>
      <c r="H39" s="255" t="s">
        <v>63</v>
      </c>
      <c r="I39" s="31"/>
      <c r="L39" s="74"/>
    </row>
    <row r="40" spans="1:12" ht="30" customHeight="1">
      <c r="A40" s="37">
        <v>647</v>
      </c>
      <c r="B40" s="38" t="s">
        <v>89</v>
      </c>
      <c r="C40" s="40" t="s">
        <v>90</v>
      </c>
      <c r="D40" s="40" t="s">
        <v>62</v>
      </c>
      <c r="E40" s="41" t="s">
        <v>34</v>
      </c>
      <c r="F40" s="69">
        <v>26</v>
      </c>
      <c r="G40" s="295">
        <v>1288.6</v>
      </c>
      <c r="H40" s="255" t="s">
        <v>63</v>
      </c>
      <c r="I40" s="31"/>
      <c r="L40" s="74"/>
    </row>
    <row r="41" spans="1:12" ht="30" customHeight="1">
      <c r="A41" s="37">
        <v>648</v>
      </c>
      <c r="B41" s="38" t="s">
        <v>91</v>
      </c>
      <c r="C41" s="40" t="s">
        <v>92</v>
      </c>
      <c r="D41" s="40" t="s">
        <v>62</v>
      </c>
      <c r="E41" s="41" t="s">
        <v>34</v>
      </c>
      <c r="F41" s="69">
        <v>38</v>
      </c>
      <c r="G41" s="295">
        <v>6352.3</v>
      </c>
      <c r="H41" s="255" t="s">
        <v>63</v>
      </c>
      <c r="I41" s="31"/>
      <c r="L41" s="74"/>
    </row>
    <row r="42" spans="1:12" ht="30" customHeight="1">
      <c r="A42" s="37">
        <v>649</v>
      </c>
      <c r="B42" s="38" t="s">
        <v>222</v>
      </c>
      <c r="C42" s="40" t="s">
        <v>223</v>
      </c>
      <c r="D42" s="40" t="s">
        <v>62</v>
      </c>
      <c r="E42" s="41" t="s">
        <v>34</v>
      </c>
      <c r="F42" s="69">
        <v>15</v>
      </c>
      <c r="G42" s="295">
        <v>292</v>
      </c>
      <c r="H42" s="255" t="s">
        <v>63</v>
      </c>
      <c r="I42" s="31"/>
      <c r="L42" s="74"/>
    </row>
    <row r="43" spans="1:12" ht="30" customHeight="1">
      <c r="A43" s="37">
        <v>650</v>
      </c>
      <c r="B43" s="38" t="s">
        <v>93</v>
      </c>
      <c r="C43" s="40" t="s">
        <v>94</v>
      </c>
      <c r="D43" s="40" t="s">
        <v>62</v>
      </c>
      <c r="E43" s="41" t="s">
        <v>34</v>
      </c>
      <c r="F43" s="69">
        <v>12.54</v>
      </c>
      <c r="G43" s="295">
        <v>1628.95</v>
      </c>
      <c r="H43" s="255" t="s">
        <v>63</v>
      </c>
      <c r="I43" s="31"/>
      <c r="L43" s="74"/>
    </row>
    <row r="44" spans="1:12" ht="30" customHeight="1">
      <c r="A44" s="37">
        <v>651</v>
      </c>
      <c r="B44" s="38" t="s">
        <v>224</v>
      </c>
      <c r="C44" s="40" t="s">
        <v>225</v>
      </c>
      <c r="D44" s="40" t="s">
        <v>62</v>
      </c>
      <c r="E44" s="41" t="s">
        <v>34</v>
      </c>
      <c r="F44" s="69">
        <v>6</v>
      </c>
      <c r="G44" s="295">
        <v>74.4</v>
      </c>
      <c r="H44" s="255" t="s">
        <v>63</v>
      </c>
      <c r="I44" s="31"/>
      <c r="L44" s="74"/>
    </row>
    <row r="45" spans="1:12" ht="30" customHeight="1">
      <c r="A45" s="37">
        <v>652</v>
      </c>
      <c r="B45" s="40" t="s">
        <v>226</v>
      </c>
      <c r="C45" s="40" t="s">
        <v>227</v>
      </c>
      <c r="D45" s="40" t="s">
        <v>62</v>
      </c>
      <c r="E45" s="41" t="s">
        <v>34</v>
      </c>
      <c r="F45" s="69">
        <v>3</v>
      </c>
      <c r="G45" s="295">
        <v>412.5</v>
      </c>
      <c r="H45" s="255" t="s">
        <v>63</v>
      </c>
      <c r="I45" s="31"/>
      <c r="L45" s="74"/>
    </row>
    <row r="46" spans="1:12" ht="30" customHeight="1">
      <c r="A46" s="37">
        <v>653</v>
      </c>
      <c r="B46" s="40" t="s">
        <v>276</v>
      </c>
      <c r="C46" s="40" t="s">
        <v>277</v>
      </c>
      <c r="D46" s="40" t="s">
        <v>62</v>
      </c>
      <c r="E46" s="41" t="s">
        <v>34</v>
      </c>
      <c r="F46" s="69">
        <v>4</v>
      </c>
      <c r="G46" s="295">
        <v>730.8</v>
      </c>
      <c r="H46" s="255" t="s">
        <v>63</v>
      </c>
      <c r="I46" s="31"/>
      <c r="L46" s="74"/>
    </row>
    <row r="47" spans="1:12" ht="30" customHeight="1">
      <c r="A47" s="37">
        <v>654</v>
      </c>
      <c r="B47" s="40" t="s">
        <v>95</v>
      </c>
      <c r="C47" s="40" t="s">
        <v>96</v>
      </c>
      <c r="D47" s="40" t="s">
        <v>62</v>
      </c>
      <c r="E47" s="41" t="s">
        <v>34</v>
      </c>
      <c r="F47" s="69">
        <v>25</v>
      </c>
      <c r="G47" s="295">
        <v>5033</v>
      </c>
      <c r="H47" s="255" t="s">
        <v>63</v>
      </c>
      <c r="I47" s="31"/>
      <c r="L47" s="74"/>
    </row>
    <row r="48" spans="1:12" ht="30" customHeight="1">
      <c r="A48" s="37">
        <v>655</v>
      </c>
      <c r="B48" s="40" t="s">
        <v>97</v>
      </c>
      <c r="C48" s="345" t="s">
        <v>87</v>
      </c>
      <c r="D48" s="40" t="s">
        <v>62</v>
      </c>
      <c r="E48" s="41" t="s">
        <v>34</v>
      </c>
      <c r="F48" s="69">
        <v>28</v>
      </c>
      <c r="G48" s="295">
        <v>6240</v>
      </c>
      <c r="H48" s="255" t="s">
        <v>63</v>
      </c>
      <c r="I48" s="31"/>
      <c r="L48" s="74"/>
    </row>
    <row r="49" spans="1:12" ht="45" customHeight="1">
      <c r="A49" s="37">
        <v>656</v>
      </c>
      <c r="B49" s="54" t="s">
        <v>98</v>
      </c>
      <c r="C49" s="40" t="s">
        <v>61</v>
      </c>
      <c r="D49" s="40" t="s">
        <v>62</v>
      </c>
      <c r="E49" s="41" t="s">
        <v>25</v>
      </c>
      <c r="F49" s="69">
        <v>225</v>
      </c>
      <c r="G49" s="295">
        <v>4584.58</v>
      </c>
      <c r="H49" s="255" t="s">
        <v>63</v>
      </c>
      <c r="I49" s="31"/>
      <c r="L49" s="74"/>
    </row>
    <row r="50" spans="1:12" ht="30" customHeight="1">
      <c r="A50" s="37">
        <v>657</v>
      </c>
      <c r="B50" s="40" t="s">
        <v>99</v>
      </c>
      <c r="C50" s="40" t="s">
        <v>100</v>
      </c>
      <c r="D50" s="40" t="s">
        <v>62</v>
      </c>
      <c r="E50" s="41" t="s">
        <v>34</v>
      </c>
      <c r="F50" s="69">
        <v>19</v>
      </c>
      <c r="G50" s="295">
        <v>5726.97</v>
      </c>
      <c r="H50" s="255" t="s">
        <v>63</v>
      </c>
      <c r="I50" s="31"/>
      <c r="L50" s="74"/>
    </row>
    <row r="51" spans="1:12" ht="30" customHeight="1">
      <c r="A51" s="37">
        <v>658</v>
      </c>
      <c r="B51" s="40" t="s">
        <v>101</v>
      </c>
      <c r="C51" s="40" t="s">
        <v>102</v>
      </c>
      <c r="D51" s="40" t="s">
        <v>62</v>
      </c>
      <c r="E51" s="41" t="s">
        <v>34</v>
      </c>
      <c r="F51" s="69">
        <v>0.1</v>
      </c>
      <c r="G51" s="295">
        <v>59.5</v>
      </c>
      <c r="H51" s="255" t="s">
        <v>63</v>
      </c>
      <c r="I51" s="31"/>
      <c r="L51" s="74"/>
    </row>
    <row r="52" spans="1:12" ht="30" customHeight="1">
      <c r="A52" s="37">
        <v>659</v>
      </c>
      <c r="B52" s="40" t="s">
        <v>228</v>
      </c>
      <c r="C52" s="40" t="s">
        <v>229</v>
      </c>
      <c r="D52" s="40" t="s">
        <v>62</v>
      </c>
      <c r="E52" s="41" t="s">
        <v>34</v>
      </c>
      <c r="F52" s="69">
        <v>60</v>
      </c>
      <c r="G52" s="295">
        <v>2626</v>
      </c>
      <c r="H52" s="255" t="s">
        <v>63</v>
      </c>
      <c r="I52" s="31"/>
      <c r="L52" s="74"/>
    </row>
    <row r="53" spans="1:12" ht="30" customHeight="1">
      <c r="A53" s="37">
        <v>660</v>
      </c>
      <c r="B53" s="40" t="s">
        <v>103</v>
      </c>
      <c r="C53" s="40" t="s">
        <v>104</v>
      </c>
      <c r="D53" s="40" t="s">
        <v>62</v>
      </c>
      <c r="E53" s="41" t="s">
        <v>25</v>
      </c>
      <c r="F53" s="69">
        <v>580</v>
      </c>
      <c r="G53" s="295">
        <v>2691.2</v>
      </c>
      <c r="H53" s="255" t="s">
        <v>63</v>
      </c>
      <c r="I53" s="31"/>
      <c r="L53" s="74"/>
    </row>
    <row r="54" spans="1:12" ht="30" customHeight="1">
      <c r="A54" s="37">
        <v>661</v>
      </c>
      <c r="B54" s="38" t="s">
        <v>105</v>
      </c>
      <c r="C54" s="40" t="s">
        <v>70</v>
      </c>
      <c r="D54" s="40" t="s">
        <v>62</v>
      </c>
      <c r="E54" s="41" t="s">
        <v>34</v>
      </c>
      <c r="F54" s="69">
        <v>21</v>
      </c>
      <c r="G54" s="295">
        <v>696.9</v>
      </c>
      <c r="H54" s="255" t="s">
        <v>63</v>
      </c>
      <c r="I54" s="31"/>
      <c r="L54" s="74"/>
    </row>
    <row r="55" spans="1:12" s="10" customFormat="1" ht="30" customHeight="1">
      <c r="A55" s="296"/>
      <c r="B55" s="308" t="s">
        <v>106</v>
      </c>
      <c r="C55" s="328"/>
      <c r="D55" s="263"/>
      <c r="E55" s="263"/>
      <c r="F55" s="263"/>
      <c r="G55" s="297">
        <f>SUM(G28:G54)</f>
        <v>61190.00000000001</v>
      </c>
      <c r="H55" s="265"/>
      <c r="I55" s="31"/>
      <c r="L55" s="267"/>
    </row>
    <row r="56" spans="1:9" ht="29.25" customHeight="1">
      <c r="A56" s="37">
        <v>662</v>
      </c>
      <c r="B56" s="160" t="s">
        <v>318</v>
      </c>
      <c r="C56" s="133" t="s">
        <v>108</v>
      </c>
      <c r="D56" s="133" t="s">
        <v>109</v>
      </c>
      <c r="E56" s="41" t="s">
        <v>110</v>
      </c>
      <c r="F56" s="41">
        <v>6</v>
      </c>
      <c r="G56" s="53">
        <v>566.4</v>
      </c>
      <c r="H56" s="255" t="s">
        <v>63</v>
      </c>
      <c r="I56" s="31"/>
    </row>
    <row r="57" spans="1:12" ht="29.25" customHeight="1">
      <c r="A57" s="37">
        <v>663</v>
      </c>
      <c r="B57" s="160" t="s">
        <v>111</v>
      </c>
      <c r="C57" s="133" t="s">
        <v>112</v>
      </c>
      <c r="D57" s="133" t="s">
        <v>109</v>
      </c>
      <c r="E57" s="41" t="s">
        <v>319</v>
      </c>
      <c r="F57" s="41">
        <v>2400</v>
      </c>
      <c r="G57" s="53">
        <v>2880</v>
      </c>
      <c r="H57" s="255" t="s">
        <v>63</v>
      </c>
      <c r="I57" s="31"/>
      <c r="K57" s="12">
        <v>700</v>
      </c>
      <c r="L57" s="74">
        <f aca="true" t="shared" si="0" ref="L57:L63">G57-K57</f>
        <v>2180</v>
      </c>
    </row>
    <row r="58" spans="1:12" ht="44.25" customHeight="1">
      <c r="A58" s="37">
        <v>664</v>
      </c>
      <c r="B58" s="160" t="s">
        <v>353</v>
      </c>
      <c r="C58" s="161" t="s">
        <v>242</v>
      </c>
      <c r="D58" s="133" t="s">
        <v>109</v>
      </c>
      <c r="E58" s="41" t="s">
        <v>25</v>
      </c>
      <c r="F58" s="41">
        <v>4</v>
      </c>
      <c r="G58" s="53">
        <v>650</v>
      </c>
      <c r="H58" s="255" t="s">
        <v>132</v>
      </c>
      <c r="I58" s="31"/>
      <c r="L58" s="74">
        <f t="shared" si="0"/>
        <v>650</v>
      </c>
    </row>
    <row r="59" spans="1:12" ht="45" customHeight="1">
      <c r="A59" s="37">
        <v>665</v>
      </c>
      <c r="B59" s="160" t="s">
        <v>118</v>
      </c>
      <c r="C59" s="161" t="s">
        <v>119</v>
      </c>
      <c r="D59" s="133" t="s">
        <v>109</v>
      </c>
      <c r="E59" s="41" t="s">
        <v>120</v>
      </c>
      <c r="F59" s="41" t="s">
        <v>121</v>
      </c>
      <c r="G59" s="53">
        <v>3591.48</v>
      </c>
      <c r="H59" s="255" t="s">
        <v>63</v>
      </c>
      <c r="I59" s="31"/>
      <c r="L59" s="74">
        <f t="shared" si="0"/>
        <v>3591.48</v>
      </c>
    </row>
    <row r="60" spans="1:12" ht="30" customHeight="1">
      <c r="A60" s="37">
        <v>666</v>
      </c>
      <c r="B60" s="160" t="s">
        <v>354</v>
      </c>
      <c r="C60" s="161" t="s">
        <v>131</v>
      </c>
      <c r="D60" s="133" t="s">
        <v>109</v>
      </c>
      <c r="E60" s="41" t="s">
        <v>113</v>
      </c>
      <c r="F60" s="41">
        <v>3</v>
      </c>
      <c r="G60" s="53">
        <v>756</v>
      </c>
      <c r="H60" s="255" t="s">
        <v>132</v>
      </c>
      <c r="I60" s="31"/>
      <c r="L60" s="74">
        <f t="shared" si="0"/>
        <v>756</v>
      </c>
    </row>
    <row r="61" spans="1:12" ht="30" customHeight="1">
      <c r="A61" s="37">
        <v>667</v>
      </c>
      <c r="B61" s="160" t="s">
        <v>321</v>
      </c>
      <c r="C61" s="161" t="s">
        <v>239</v>
      </c>
      <c r="D61" s="133" t="s">
        <v>109</v>
      </c>
      <c r="E61" s="41" t="s">
        <v>285</v>
      </c>
      <c r="F61" s="41">
        <v>2109.9</v>
      </c>
      <c r="G61" s="53">
        <v>5443.54</v>
      </c>
      <c r="H61" s="255" t="s">
        <v>19</v>
      </c>
      <c r="I61" s="31"/>
      <c r="L61" s="74">
        <f t="shared" si="0"/>
        <v>5443.54</v>
      </c>
    </row>
    <row r="62" spans="1:12" ht="30" customHeight="1">
      <c r="A62" s="37">
        <v>668</v>
      </c>
      <c r="B62" s="160" t="s">
        <v>115</v>
      </c>
      <c r="C62" s="133" t="s">
        <v>116</v>
      </c>
      <c r="D62" s="133" t="s">
        <v>109</v>
      </c>
      <c r="E62" s="41" t="s">
        <v>113</v>
      </c>
      <c r="F62" s="50" t="s">
        <v>117</v>
      </c>
      <c r="G62" s="53">
        <v>492</v>
      </c>
      <c r="H62" s="255" t="s">
        <v>63</v>
      </c>
      <c r="I62" s="31"/>
      <c r="K62" s="12">
        <f>154</f>
        <v>154</v>
      </c>
      <c r="L62" s="74">
        <f t="shared" si="0"/>
        <v>338</v>
      </c>
    </row>
    <row r="63" spans="1:13" ht="30" customHeight="1">
      <c r="A63" s="37">
        <v>669</v>
      </c>
      <c r="B63" s="160" t="s">
        <v>122</v>
      </c>
      <c r="C63" s="133" t="s">
        <v>123</v>
      </c>
      <c r="D63" s="133" t="s">
        <v>109</v>
      </c>
      <c r="E63" s="41" t="s">
        <v>113</v>
      </c>
      <c r="F63" s="41" t="s">
        <v>117</v>
      </c>
      <c r="G63" s="53">
        <v>2376</v>
      </c>
      <c r="H63" s="255" t="s">
        <v>63</v>
      </c>
      <c r="I63" s="31"/>
      <c r="K63" s="12">
        <f>801.4</f>
        <v>801.4</v>
      </c>
      <c r="L63" s="74">
        <f t="shared" si="0"/>
        <v>1574.6</v>
      </c>
      <c r="M63" s="12">
        <v>1412.88</v>
      </c>
    </row>
    <row r="64" spans="1:12" ht="30" customHeight="1">
      <c r="A64" s="37">
        <v>670</v>
      </c>
      <c r="B64" s="160" t="s">
        <v>320</v>
      </c>
      <c r="C64" s="133" t="s">
        <v>239</v>
      </c>
      <c r="D64" s="133" t="s">
        <v>109</v>
      </c>
      <c r="E64" s="41" t="s">
        <v>285</v>
      </c>
      <c r="F64" s="41">
        <v>330.6</v>
      </c>
      <c r="G64" s="53">
        <v>978.58</v>
      </c>
      <c r="H64" s="255" t="s">
        <v>19</v>
      </c>
      <c r="I64" s="31"/>
      <c r="L64" s="74"/>
    </row>
    <row r="65" spans="1:12" s="10" customFormat="1" ht="30" customHeight="1">
      <c r="A65" s="296"/>
      <c r="B65" s="308" t="s">
        <v>136</v>
      </c>
      <c r="C65" s="261"/>
      <c r="D65" s="262"/>
      <c r="E65" s="263"/>
      <c r="F65" s="263"/>
      <c r="G65" s="297">
        <f>SUM(G56:G64)</f>
        <v>17734</v>
      </c>
      <c r="H65" s="265"/>
      <c r="I65" s="31"/>
      <c r="K65" s="267">
        <f>SUM(K56:K64)</f>
        <v>1655.4</v>
      </c>
      <c r="L65" s="267" t="e">
        <f>SUM(#REF!)</f>
        <v>#REF!</v>
      </c>
    </row>
    <row r="66" spans="1:11" ht="30" customHeight="1">
      <c r="A66" s="37">
        <v>671</v>
      </c>
      <c r="B66" s="38" t="s">
        <v>137</v>
      </c>
      <c r="C66" s="52" t="s">
        <v>138</v>
      </c>
      <c r="D66" s="40" t="s">
        <v>139</v>
      </c>
      <c r="E66" s="41" t="s">
        <v>140</v>
      </c>
      <c r="F66" s="53">
        <f>G66/67.76</f>
        <v>5816.558441558441</v>
      </c>
      <c r="G66" s="295">
        <v>394130</v>
      </c>
      <c r="H66" s="40" t="s">
        <v>63</v>
      </c>
      <c r="I66" s="31"/>
      <c r="K66" s="12">
        <v>163000</v>
      </c>
    </row>
    <row r="67" spans="1:9" s="10" customFormat="1" ht="30" customHeight="1">
      <c r="A67" s="296"/>
      <c r="B67" s="260" t="s">
        <v>141</v>
      </c>
      <c r="C67" s="261"/>
      <c r="D67" s="262"/>
      <c r="E67" s="263"/>
      <c r="F67" s="263"/>
      <c r="G67" s="297">
        <f>SUM(G66:G66)</f>
        <v>394130</v>
      </c>
      <c r="H67" s="265"/>
      <c r="I67" s="31"/>
    </row>
    <row r="68" spans="1:11" ht="30" customHeight="1">
      <c r="A68" s="37">
        <v>672</v>
      </c>
      <c r="B68" s="38" t="s">
        <v>142</v>
      </c>
      <c r="C68" s="54" t="s">
        <v>143</v>
      </c>
      <c r="D68" s="40" t="s">
        <v>144</v>
      </c>
      <c r="E68" s="41" t="s">
        <v>145</v>
      </c>
      <c r="F68" s="56">
        <f>G68/4.14243</f>
        <v>5741.557491617239</v>
      </c>
      <c r="G68" s="295">
        <v>23784</v>
      </c>
      <c r="H68" s="40" t="s">
        <v>63</v>
      </c>
      <c r="I68" s="31"/>
      <c r="K68" s="12">
        <f>6830.42</f>
        <v>6830.42</v>
      </c>
    </row>
    <row r="69" spans="1:9" s="10" customFormat="1" ht="30" customHeight="1">
      <c r="A69" s="296"/>
      <c r="B69" s="260" t="s">
        <v>146</v>
      </c>
      <c r="C69" s="261"/>
      <c r="D69" s="262"/>
      <c r="E69" s="262"/>
      <c r="F69" s="262"/>
      <c r="G69" s="297">
        <f>G68</f>
        <v>23784</v>
      </c>
      <c r="H69" s="265"/>
      <c r="I69" s="31"/>
    </row>
    <row r="70" spans="1:9" ht="22.5" customHeight="1">
      <c r="A70" s="19"/>
      <c r="B70" s="208" t="s">
        <v>151</v>
      </c>
      <c r="C70" s="167"/>
      <c r="D70" s="168"/>
      <c r="E70" s="207"/>
      <c r="F70" s="170"/>
      <c r="G70" s="304"/>
      <c r="H70" s="171"/>
      <c r="I70" s="223"/>
    </row>
    <row r="71" spans="1:9" ht="22.5" customHeight="1">
      <c r="A71" s="19"/>
      <c r="B71" s="106" t="s">
        <v>152</v>
      </c>
      <c r="C71" s="107"/>
      <c r="D71" s="108" t="s">
        <v>153</v>
      </c>
      <c r="E71" s="109"/>
      <c r="F71" s="109"/>
      <c r="G71" s="304"/>
      <c r="H71" s="171"/>
      <c r="I71" s="223"/>
    </row>
    <row r="72" spans="1:9" s="8" customFormat="1" ht="22.5" customHeight="1">
      <c r="A72" s="19"/>
      <c r="B72" s="111"/>
      <c r="C72" s="9"/>
      <c r="D72" s="112" t="s">
        <v>154</v>
      </c>
      <c r="E72" s="113" t="s">
        <v>155</v>
      </c>
      <c r="F72" s="114"/>
      <c r="G72" s="304"/>
      <c r="H72" s="171"/>
      <c r="I72" s="223"/>
    </row>
    <row r="73" spans="1:9" s="8" customFormat="1" ht="22.5" customHeight="1">
      <c r="A73" s="19"/>
      <c r="B73" s="115" t="s">
        <v>156</v>
      </c>
      <c r="C73" s="116"/>
      <c r="D73" s="108" t="s">
        <v>157</v>
      </c>
      <c r="E73" s="109"/>
      <c r="F73" s="109"/>
      <c r="G73" s="304"/>
      <c r="H73" s="171"/>
      <c r="I73" s="223"/>
    </row>
    <row r="74" spans="1:9" ht="22.5" customHeight="1">
      <c r="A74" s="19"/>
      <c r="B74" s="111"/>
      <c r="C74" s="9"/>
      <c r="D74" s="112" t="s">
        <v>154</v>
      </c>
      <c r="E74" s="113"/>
      <c r="F74" s="114"/>
      <c r="G74" s="304"/>
      <c r="H74" s="8"/>
      <c r="I74" s="141"/>
    </row>
    <row r="75" spans="1:9" s="8" customFormat="1" ht="22.5" customHeight="1">
      <c r="A75" s="19"/>
      <c r="B75" s="115" t="s">
        <v>158</v>
      </c>
      <c r="C75" s="9"/>
      <c r="D75" s="9"/>
      <c r="E75" s="9"/>
      <c r="F75" s="9"/>
      <c r="G75" s="304"/>
      <c r="H75" s="171"/>
      <c r="I75" s="223"/>
    </row>
    <row r="76" spans="1:9" s="2" customFormat="1" ht="30" customHeight="1">
      <c r="A76" s="169"/>
      <c r="B76" s="229" t="s">
        <v>159</v>
      </c>
      <c r="C76" s="167"/>
      <c r="D76" s="291" t="s">
        <v>160</v>
      </c>
      <c r="E76" s="229"/>
      <c r="F76" s="170"/>
      <c r="G76" s="307"/>
      <c r="H76" s="171"/>
      <c r="I76" s="326"/>
    </row>
    <row r="77" spans="1:9" ht="22.5" customHeight="1">
      <c r="A77" s="19"/>
      <c r="B77" s="230" t="s">
        <v>161</v>
      </c>
      <c r="C77" s="167"/>
      <c r="D77" s="168"/>
      <c r="E77" s="207"/>
      <c r="F77" s="170"/>
      <c r="G77" s="304"/>
      <c r="H77" s="171"/>
      <c r="I77" s="223"/>
    </row>
  </sheetData>
  <sheetProtection/>
  <mergeCells count="17">
    <mergeCell ref="F1:G1"/>
    <mergeCell ref="A2:I2"/>
    <mergeCell ref="B27:C27"/>
    <mergeCell ref="B55:C55"/>
    <mergeCell ref="B65:C65"/>
    <mergeCell ref="B67:C67"/>
    <mergeCell ref="B69:C69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69"/>
  </mergeCells>
  <hyperlinks>
    <hyperlink ref="C25" r:id="rId1" display="73.11.1; ДК 016:2010"/>
  </hyperlinks>
  <printOptions/>
  <pageMargins left="0.16" right="0.16" top="0.79" bottom="0.36" header="0.31" footer="0.16"/>
  <pageSetup fitToHeight="5" fitToWidth="1" horizontalDpi="600" verticalDpi="600" orientation="landscape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4"/>
  <sheetViews>
    <sheetView view="pageBreakPreview" zoomScale="90" zoomScaleNormal="90" zoomScaleSheetLayoutView="90" workbookViewId="0" topLeftCell="A31">
      <selection activeCell="B36" sqref="B36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317" t="s">
        <v>355</v>
      </c>
      <c r="B2" s="317"/>
      <c r="C2" s="317"/>
      <c r="D2" s="317"/>
      <c r="E2" s="317"/>
      <c r="F2" s="317"/>
      <c r="G2" s="317"/>
      <c r="H2" s="317"/>
      <c r="I2" s="317"/>
    </row>
    <row r="3" spans="3:9" ht="15" customHeight="1">
      <c r="C3" s="124"/>
      <c r="D3" s="125" t="s">
        <v>4</v>
      </c>
      <c r="E3" s="124"/>
      <c r="F3" s="124"/>
      <c r="G3" s="3"/>
      <c r="H3" s="16"/>
      <c r="I3" s="16"/>
    </row>
    <row r="4" ht="15" customHeight="1"/>
    <row r="5" spans="1:11" ht="15.75" customHeight="1">
      <c r="A5" s="26" t="s">
        <v>5</v>
      </c>
      <c r="B5" s="27" t="s">
        <v>6</v>
      </c>
      <c r="C5" s="28" t="s">
        <v>7</v>
      </c>
      <c r="D5" s="28" t="s">
        <v>249</v>
      </c>
      <c r="E5" s="28" t="s">
        <v>9</v>
      </c>
      <c r="F5" s="28" t="s">
        <v>10</v>
      </c>
      <c r="G5" s="28" t="s">
        <v>250</v>
      </c>
      <c r="H5" s="28" t="s">
        <v>251</v>
      </c>
      <c r="I5" s="28" t="s">
        <v>13</v>
      </c>
      <c r="J5" s="71"/>
      <c r="K5" s="71"/>
    </row>
    <row r="6" spans="1:9" ht="31.5" customHeight="1">
      <c r="A6" s="29"/>
      <c r="B6" s="30"/>
      <c r="C6" s="31"/>
      <c r="D6" s="31"/>
      <c r="E6" s="31"/>
      <c r="F6" s="31"/>
      <c r="G6" s="31"/>
      <c r="H6" s="31"/>
      <c r="I6" s="31"/>
    </row>
    <row r="7" spans="1:9" ht="37.5" customHeight="1">
      <c r="A7" s="32"/>
      <c r="B7" s="33"/>
      <c r="C7" s="34"/>
      <c r="D7" s="34"/>
      <c r="E7" s="34"/>
      <c r="F7" s="34"/>
      <c r="G7" s="34"/>
      <c r="H7" s="34"/>
      <c r="I7" s="34"/>
    </row>
    <row r="8" spans="1:14" ht="20.25" customHeight="1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72">
        <v>9</v>
      </c>
      <c r="N8" s="12" t="s">
        <v>298</v>
      </c>
    </row>
    <row r="9" spans="1:12" ht="30" customHeight="1">
      <c r="A9" s="37">
        <v>554</v>
      </c>
      <c r="B9" s="38" t="s">
        <v>356</v>
      </c>
      <c r="C9" s="247" t="s">
        <v>16</v>
      </c>
      <c r="D9" s="40" t="s">
        <v>17</v>
      </c>
      <c r="E9" s="41" t="s">
        <v>18</v>
      </c>
      <c r="F9" s="41">
        <v>5</v>
      </c>
      <c r="G9" s="295">
        <v>1050</v>
      </c>
      <c r="H9" s="51" t="s">
        <v>19</v>
      </c>
      <c r="I9" s="224" t="s">
        <v>253</v>
      </c>
      <c r="J9" s="12">
        <v>55</v>
      </c>
      <c r="K9" s="12">
        <v>2058</v>
      </c>
      <c r="L9" s="74">
        <f aca="true" t="shared" si="0" ref="L9:L15">G9-K9</f>
        <v>-1008</v>
      </c>
    </row>
    <row r="10" spans="1:14" ht="60" customHeight="1">
      <c r="A10" s="37">
        <v>555</v>
      </c>
      <c r="B10" s="38" t="s">
        <v>357</v>
      </c>
      <c r="C10" s="96" t="s">
        <v>16</v>
      </c>
      <c r="D10" s="40" t="s">
        <v>17</v>
      </c>
      <c r="E10" s="41" t="s">
        <v>22</v>
      </c>
      <c r="F10" s="41">
        <v>3</v>
      </c>
      <c r="G10" s="295">
        <v>1107.63</v>
      </c>
      <c r="H10" s="51" t="s">
        <v>19</v>
      </c>
      <c r="I10" s="224"/>
      <c r="J10" s="12">
        <v>6</v>
      </c>
      <c r="K10" s="12">
        <v>1560</v>
      </c>
      <c r="L10" s="74">
        <f t="shared" si="0"/>
        <v>-452.3699999999999</v>
      </c>
      <c r="M10" s="12">
        <v>4</v>
      </c>
      <c r="N10" s="12">
        <v>1040</v>
      </c>
    </row>
    <row r="11" spans="1:14" ht="30" customHeight="1">
      <c r="A11" s="37">
        <v>556</v>
      </c>
      <c r="B11" s="38" t="s">
        <v>358</v>
      </c>
      <c r="C11" s="40" t="s">
        <v>27</v>
      </c>
      <c r="D11" s="40" t="s">
        <v>17</v>
      </c>
      <c r="E11" s="41" t="s">
        <v>25</v>
      </c>
      <c r="F11" s="41">
        <v>10</v>
      </c>
      <c r="G11" s="295">
        <v>593.5</v>
      </c>
      <c r="H11" s="51" t="s">
        <v>19</v>
      </c>
      <c r="I11" s="224"/>
      <c r="J11" s="12">
        <v>2</v>
      </c>
      <c r="K11" s="12">
        <f>347.3</f>
        <v>347.3</v>
      </c>
      <c r="L11" s="74">
        <f t="shared" si="0"/>
        <v>246.2</v>
      </c>
      <c r="M11" s="12">
        <v>1</v>
      </c>
      <c r="N11" s="12">
        <v>173.65</v>
      </c>
    </row>
    <row r="12" spans="1:12" ht="30" customHeight="1">
      <c r="A12" s="37">
        <v>557</v>
      </c>
      <c r="B12" s="38" t="s">
        <v>359</v>
      </c>
      <c r="C12" s="40" t="s">
        <v>27</v>
      </c>
      <c r="D12" s="40" t="s">
        <v>17</v>
      </c>
      <c r="E12" s="41" t="s">
        <v>25</v>
      </c>
      <c r="F12" s="41">
        <v>1</v>
      </c>
      <c r="G12" s="295">
        <v>176.38</v>
      </c>
      <c r="H12" s="51" t="s">
        <v>19</v>
      </c>
      <c r="I12" s="224"/>
      <c r="J12" s="12">
        <v>150</v>
      </c>
      <c r="K12" s="12">
        <v>7905</v>
      </c>
      <c r="L12" s="74">
        <f t="shared" si="0"/>
        <v>-7728.62</v>
      </c>
    </row>
    <row r="13" spans="1:14" ht="30" customHeight="1">
      <c r="A13" s="37">
        <v>558</v>
      </c>
      <c r="B13" s="38" t="s">
        <v>335</v>
      </c>
      <c r="C13" s="248" t="s">
        <v>260</v>
      </c>
      <c r="D13" s="40" t="s">
        <v>17</v>
      </c>
      <c r="E13" s="41" t="s">
        <v>25</v>
      </c>
      <c r="F13" s="41">
        <v>2</v>
      </c>
      <c r="G13" s="295">
        <v>7000</v>
      </c>
      <c r="H13" s="51" t="s">
        <v>19</v>
      </c>
      <c r="I13" s="224"/>
      <c r="L13" s="74">
        <f t="shared" si="0"/>
        <v>7000</v>
      </c>
      <c r="M13" s="12">
        <v>75</v>
      </c>
      <c r="N13" s="12">
        <v>2486.25</v>
      </c>
    </row>
    <row r="14" spans="1:12" ht="60" customHeight="1">
      <c r="A14" s="37">
        <v>559</v>
      </c>
      <c r="B14" s="38" t="s">
        <v>360</v>
      </c>
      <c r="C14" s="40" t="s">
        <v>47</v>
      </c>
      <c r="D14" s="40" t="s">
        <v>17</v>
      </c>
      <c r="E14" s="41" t="s">
        <v>25</v>
      </c>
      <c r="F14" s="41">
        <v>1</v>
      </c>
      <c r="G14" s="295">
        <v>432</v>
      </c>
      <c r="H14" s="51" t="s">
        <v>19</v>
      </c>
      <c r="I14" s="224"/>
      <c r="J14" s="12">
        <v>150</v>
      </c>
      <c r="K14" s="12">
        <v>3400.5</v>
      </c>
      <c r="L14" s="74">
        <f t="shared" si="0"/>
        <v>-2968.5</v>
      </c>
    </row>
    <row r="15" spans="1:12" ht="30" customHeight="1">
      <c r="A15" s="37">
        <v>560</v>
      </c>
      <c r="B15" s="38" t="s">
        <v>361</v>
      </c>
      <c r="C15" s="96" t="s">
        <v>44</v>
      </c>
      <c r="D15" s="40" t="s">
        <v>17</v>
      </c>
      <c r="E15" s="41" t="s">
        <v>25</v>
      </c>
      <c r="F15" s="41">
        <v>1</v>
      </c>
      <c r="G15" s="295">
        <v>227.5</v>
      </c>
      <c r="H15" s="51" t="s">
        <v>19</v>
      </c>
      <c r="I15" s="224"/>
      <c r="L15" s="74">
        <f t="shared" si="0"/>
        <v>227.5</v>
      </c>
    </row>
    <row r="16" spans="1:11" ht="30" customHeight="1">
      <c r="A16" s="37">
        <v>561</v>
      </c>
      <c r="B16" s="38" t="s">
        <v>362</v>
      </c>
      <c r="C16" s="40" t="s">
        <v>179</v>
      </c>
      <c r="D16" s="40" t="s">
        <v>17</v>
      </c>
      <c r="E16" s="41" t="s">
        <v>25</v>
      </c>
      <c r="F16" s="41">
        <v>3</v>
      </c>
      <c r="G16" s="295">
        <v>507.15</v>
      </c>
      <c r="H16" s="51" t="s">
        <v>19</v>
      </c>
      <c r="I16" s="224"/>
      <c r="K16" s="12">
        <v>334</v>
      </c>
    </row>
    <row r="17" spans="1:14" ht="30" customHeight="1">
      <c r="A17" s="37">
        <v>562</v>
      </c>
      <c r="B17" s="38" t="s">
        <v>363</v>
      </c>
      <c r="C17" s="96" t="s">
        <v>40</v>
      </c>
      <c r="D17" s="40" t="s">
        <v>17</v>
      </c>
      <c r="E17" s="41" t="s">
        <v>25</v>
      </c>
      <c r="F17" s="41">
        <v>2</v>
      </c>
      <c r="G17" s="295">
        <v>415.9</v>
      </c>
      <c r="H17" s="51" t="s">
        <v>19</v>
      </c>
      <c r="I17" s="224"/>
      <c r="K17" s="12">
        <f>SUM(K9:K16)</f>
        <v>15604.8</v>
      </c>
      <c r="L17" s="12">
        <f>SUM(L9:L15)</f>
        <v>-4683.789999999999</v>
      </c>
      <c r="M17" s="12">
        <f>334+22960.8</f>
        <v>23294.8</v>
      </c>
      <c r="N17" s="12">
        <f>K17-M17</f>
        <v>-7690</v>
      </c>
    </row>
    <row r="18" spans="1:9" ht="30" customHeight="1">
      <c r="A18" s="37">
        <v>563</v>
      </c>
      <c r="B18" s="38" t="s">
        <v>364</v>
      </c>
      <c r="C18" s="40" t="s">
        <v>24</v>
      </c>
      <c r="D18" s="40" t="s">
        <v>17</v>
      </c>
      <c r="E18" s="41" t="s">
        <v>25</v>
      </c>
      <c r="F18" s="41">
        <v>1</v>
      </c>
      <c r="G18" s="295">
        <v>180</v>
      </c>
      <c r="H18" s="51" t="s">
        <v>19</v>
      </c>
      <c r="I18" s="224"/>
    </row>
    <row r="19" spans="1:12" ht="30" customHeight="1">
      <c r="A19" s="37">
        <v>564</v>
      </c>
      <c r="B19" s="38" t="s">
        <v>365</v>
      </c>
      <c r="C19" s="40" t="s">
        <v>24</v>
      </c>
      <c r="D19" s="40" t="s">
        <v>17</v>
      </c>
      <c r="E19" s="41" t="s">
        <v>25</v>
      </c>
      <c r="F19" s="41">
        <v>2</v>
      </c>
      <c r="G19" s="295">
        <v>140.74</v>
      </c>
      <c r="H19" s="51" t="s">
        <v>19</v>
      </c>
      <c r="I19" s="224"/>
      <c r="K19" s="12">
        <v>93.14</v>
      </c>
      <c r="L19" s="74" t="e">
        <f>#REF!-K19</f>
        <v>#REF!</v>
      </c>
    </row>
    <row r="20" spans="1:12" ht="30" customHeight="1">
      <c r="A20" s="37">
        <v>565</v>
      </c>
      <c r="B20" s="38" t="s">
        <v>366</v>
      </c>
      <c r="C20" s="40" t="s">
        <v>44</v>
      </c>
      <c r="D20" s="40" t="s">
        <v>17</v>
      </c>
      <c r="E20" s="41" t="s">
        <v>25</v>
      </c>
      <c r="F20" s="41">
        <v>1</v>
      </c>
      <c r="G20" s="295">
        <v>97</v>
      </c>
      <c r="H20" s="51" t="s">
        <v>19</v>
      </c>
      <c r="I20" s="224"/>
      <c r="K20" s="12">
        <f>1244.83+1112.72</f>
        <v>2357.55</v>
      </c>
      <c r="L20" s="74" t="e">
        <f>#REF!-K20</f>
        <v>#REF!</v>
      </c>
    </row>
    <row r="21" spans="1:12" ht="30" customHeight="1">
      <c r="A21" s="37">
        <v>566</v>
      </c>
      <c r="B21" s="38" t="s">
        <v>367</v>
      </c>
      <c r="C21" s="96" t="s">
        <v>44</v>
      </c>
      <c r="D21" s="40" t="s">
        <v>17</v>
      </c>
      <c r="E21" s="41" t="s">
        <v>25</v>
      </c>
      <c r="F21" s="41">
        <v>2</v>
      </c>
      <c r="G21" s="295">
        <v>1104</v>
      </c>
      <c r="H21" s="51" t="s">
        <v>19</v>
      </c>
      <c r="I21" s="224"/>
      <c r="K21" s="12">
        <f>72</f>
        <v>72</v>
      </c>
      <c r="L21" s="74" t="e">
        <f>#REF!-K21</f>
        <v>#REF!</v>
      </c>
    </row>
    <row r="22" spans="1:12" ht="30" customHeight="1">
      <c r="A22" s="37">
        <v>567</v>
      </c>
      <c r="B22" s="38" t="s">
        <v>368</v>
      </c>
      <c r="C22" s="40" t="s">
        <v>42</v>
      </c>
      <c r="D22" s="40" t="s">
        <v>17</v>
      </c>
      <c r="E22" s="41" t="s">
        <v>25</v>
      </c>
      <c r="F22" s="41">
        <v>2</v>
      </c>
      <c r="G22" s="295">
        <v>304</v>
      </c>
      <c r="H22" s="51" t="s">
        <v>19</v>
      </c>
      <c r="I22" s="224"/>
      <c r="J22" s="12">
        <v>1</v>
      </c>
      <c r="K22" s="12">
        <v>204</v>
      </c>
      <c r="L22" s="74" t="e">
        <f>#REF!-K22</f>
        <v>#REF!</v>
      </c>
    </row>
    <row r="23" spans="1:12" ht="30" customHeight="1">
      <c r="A23" s="37">
        <v>568</v>
      </c>
      <c r="B23" s="38" t="s">
        <v>369</v>
      </c>
      <c r="C23" s="40" t="s">
        <v>40</v>
      </c>
      <c r="D23" s="40" t="s">
        <v>17</v>
      </c>
      <c r="E23" s="41" t="s">
        <v>25</v>
      </c>
      <c r="F23" s="41">
        <v>2</v>
      </c>
      <c r="G23" s="295">
        <v>166.14</v>
      </c>
      <c r="H23" s="51" t="s">
        <v>19</v>
      </c>
      <c r="I23" s="224"/>
      <c r="K23" s="12">
        <v>2214.94</v>
      </c>
      <c r="L23" s="74" t="e">
        <f>#REF!-K23</f>
        <v>#REF!</v>
      </c>
    </row>
    <row r="24" spans="1:12" ht="30" customHeight="1">
      <c r="A24" s="37">
        <v>569</v>
      </c>
      <c r="B24" s="38" t="s">
        <v>370</v>
      </c>
      <c r="C24" s="40" t="s">
        <v>371</v>
      </c>
      <c r="D24" s="40" t="s">
        <v>17</v>
      </c>
      <c r="E24" s="41" t="s">
        <v>25</v>
      </c>
      <c r="F24" s="41">
        <v>2</v>
      </c>
      <c r="G24" s="295">
        <v>1026.66</v>
      </c>
      <c r="H24" s="51" t="s">
        <v>19</v>
      </c>
      <c r="I24" s="224"/>
      <c r="K24" s="12">
        <v>490</v>
      </c>
      <c r="L24" s="74" t="e">
        <f>#REF!-K24</f>
        <v>#REF!</v>
      </c>
    </row>
    <row r="25" spans="1:12" ht="30" customHeight="1">
      <c r="A25" s="37">
        <v>570</v>
      </c>
      <c r="B25" s="38" t="s">
        <v>372</v>
      </c>
      <c r="C25" s="40" t="s">
        <v>56</v>
      </c>
      <c r="D25" s="40" t="s">
        <v>17</v>
      </c>
      <c r="E25" s="41" t="s">
        <v>25</v>
      </c>
      <c r="F25" s="41">
        <v>1</v>
      </c>
      <c r="G25" s="295">
        <v>8850</v>
      </c>
      <c r="H25" s="51" t="s">
        <v>19</v>
      </c>
      <c r="I25" s="224"/>
      <c r="K25" s="12">
        <f>498.04+498.04</f>
        <v>996.08</v>
      </c>
      <c r="L25" s="74" t="e">
        <f>#REF!-K25</f>
        <v>#REF!</v>
      </c>
    </row>
    <row r="26" spans="1:12" ht="30" customHeight="1">
      <c r="A26" s="37">
        <v>571</v>
      </c>
      <c r="B26" s="38" t="s">
        <v>373</v>
      </c>
      <c r="C26" s="96" t="s">
        <v>52</v>
      </c>
      <c r="D26" s="40" t="s">
        <v>17</v>
      </c>
      <c r="E26" s="41" t="s">
        <v>25</v>
      </c>
      <c r="F26" s="41">
        <v>42</v>
      </c>
      <c r="G26" s="295">
        <v>781.2</v>
      </c>
      <c r="H26" s="51" t="s">
        <v>19</v>
      </c>
      <c r="I26" s="224"/>
      <c r="K26" s="12">
        <f>280+560+504</f>
        <v>1344</v>
      </c>
      <c r="L26" s="74">
        <f>G31-K26</f>
        <v>31116</v>
      </c>
    </row>
    <row r="27" spans="1:12" ht="45" customHeight="1">
      <c r="A27" s="37">
        <v>572</v>
      </c>
      <c r="B27" s="38" t="s">
        <v>331</v>
      </c>
      <c r="C27" s="96" t="s">
        <v>332</v>
      </c>
      <c r="D27" s="40" t="s">
        <v>17</v>
      </c>
      <c r="E27" s="41" t="s">
        <v>25</v>
      </c>
      <c r="F27" s="41">
        <v>1</v>
      </c>
      <c r="G27" s="295">
        <v>2200</v>
      </c>
      <c r="H27" s="51" t="s">
        <v>19</v>
      </c>
      <c r="I27" s="224"/>
      <c r="K27" s="12">
        <f>700+620</f>
        <v>1320</v>
      </c>
      <c r="L27" s="74" t="e">
        <f>#REF!-K27</f>
        <v>#REF!</v>
      </c>
    </row>
    <row r="28" spans="1:12" ht="30" customHeight="1">
      <c r="A28" s="37">
        <v>573</v>
      </c>
      <c r="B28" s="38" t="s">
        <v>374</v>
      </c>
      <c r="C28" s="96" t="s">
        <v>375</v>
      </c>
      <c r="D28" s="40" t="s">
        <v>17</v>
      </c>
      <c r="E28" s="41" t="s">
        <v>25</v>
      </c>
      <c r="F28" s="41">
        <v>60</v>
      </c>
      <c r="G28" s="295">
        <v>2400</v>
      </c>
      <c r="H28" s="51" t="s">
        <v>19</v>
      </c>
      <c r="I28" s="224"/>
      <c r="K28" s="74">
        <f>SUM(K18:K27)</f>
        <v>9091.71</v>
      </c>
      <c r="L28" s="74" t="e">
        <f>SUM(L19:L27)</f>
        <v>#REF!</v>
      </c>
    </row>
    <row r="29" spans="1:10" ht="30" customHeight="1">
      <c r="A29" s="37">
        <v>574</v>
      </c>
      <c r="B29" s="38" t="s">
        <v>376</v>
      </c>
      <c r="C29" s="40" t="s">
        <v>44</v>
      </c>
      <c r="D29" s="40" t="s">
        <v>17</v>
      </c>
      <c r="E29" s="41" t="s">
        <v>25</v>
      </c>
      <c r="F29" s="41">
        <v>1</v>
      </c>
      <c r="G29" s="295">
        <v>1200</v>
      </c>
      <c r="H29" s="51" t="s">
        <v>19</v>
      </c>
      <c r="I29" s="224"/>
      <c r="J29" s="251"/>
    </row>
    <row r="30" spans="1:12" ht="33" customHeight="1">
      <c r="A30" s="37">
        <v>575</v>
      </c>
      <c r="B30" s="38" t="s">
        <v>57</v>
      </c>
      <c r="C30" s="40" t="s">
        <v>58</v>
      </c>
      <c r="D30" s="40" t="s">
        <v>17</v>
      </c>
      <c r="E30" s="41" t="s">
        <v>25</v>
      </c>
      <c r="F30" s="41">
        <v>1</v>
      </c>
      <c r="G30" s="295">
        <v>2500.2</v>
      </c>
      <c r="H30" s="155" t="s">
        <v>19</v>
      </c>
      <c r="I30" s="224"/>
      <c r="L30" s="74"/>
    </row>
    <row r="31" spans="1:14" s="10" customFormat="1" ht="30" customHeight="1">
      <c r="A31" s="296"/>
      <c r="B31" s="308" t="s">
        <v>59</v>
      </c>
      <c r="C31" s="261"/>
      <c r="D31" s="262"/>
      <c r="E31" s="263"/>
      <c r="F31" s="263"/>
      <c r="G31" s="297">
        <f>SUM(G9:G30)</f>
        <v>32460</v>
      </c>
      <c r="H31" s="265"/>
      <c r="I31" s="224"/>
      <c r="K31" s="10">
        <f>SUM(K9:K30)</f>
        <v>49393.020000000004</v>
      </c>
      <c r="L31" s="10" t="e">
        <f>SUM(L9:L30)</f>
        <v>#REF!</v>
      </c>
      <c r="N31" s="10">
        <f>K31-M31</f>
        <v>49393.020000000004</v>
      </c>
    </row>
    <row r="32" spans="1:9" ht="30" customHeight="1">
      <c r="A32" s="37">
        <v>576</v>
      </c>
      <c r="B32" s="38" t="s">
        <v>218</v>
      </c>
      <c r="C32" s="43" t="s">
        <v>219</v>
      </c>
      <c r="D32" s="40" t="s">
        <v>62</v>
      </c>
      <c r="E32" s="41" t="s">
        <v>34</v>
      </c>
      <c r="F32" s="69">
        <v>2</v>
      </c>
      <c r="G32" s="295">
        <v>45.6</v>
      </c>
      <c r="H32" s="51" t="s">
        <v>63</v>
      </c>
      <c r="I32" s="224"/>
    </row>
    <row r="33" spans="1:9" ht="30" customHeight="1">
      <c r="A33" s="37">
        <v>577</v>
      </c>
      <c r="B33" s="38" t="s">
        <v>216</v>
      </c>
      <c r="C33" s="40" t="s">
        <v>217</v>
      </c>
      <c r="D33" s="40" t="s">
        <v>62</v>
      </c>
      <c r="E33" s="41" t="s">
        <v>34</v>
      </c>
      <c r="F33" s="69">
        <v>50</v>
      </c>
      <c r="G33" s="295">
        <v>954</v>
      </c>
      <c r="H33" s="51" t="s">
        <v>63</v>
      </c>
      <c r="I33" s="224"/>
    </row>
    <row r="34" spans="1:9" ht="30" customHeight="1">
      <c r="A34" s="37">
        <v>578</v>
      </c>
      <c r="B34" s="38" t="s">
        <v>64</v>
      </c>
      <c r="C34" s="40" t="s">
        <v>65</v>
      </c>
      <c r="D34" s="40" t="s">
        <v>62</v>
      </c>
      <c r="E34" s="41" t="s">
        <v>34</v>
      </c>
      <c r="F34" s="69">
        <v>250</v>
      </c>
      <c r="G34" s="295">
        <v>4256</v>
      </c>
      <c r="H34" s="51" t="s">
        <v>63</v>
      </c>
      <c r="I34" s="224"/>
    </row>
    <row r="35" spans="1:9" ht="30" customHeight="1">
      <c r="A35" s="37">
        <v>579</v>
      </c>
      <c r="B35" s="38" t="s">
        <v>71</v>
      </c>
      <c r="C35" s="71" t="s">
        <v>72</v>
      </c>
      <c r="D35" s="40" t="s">
        <v>62</v>
      </c>
      <c r="E35" s="41" t="s">
        <v>34</v>
      </c>
      <c r="F35" s="69">
        <v>20</v>
      </c>
      <c r="G35" s="295">
        <v>317.9</v>
      </c>
      <c r="H35" s="51" t="s">
        <v>63</v>
      </c>
      <c r="I35" s="224"/>
    </row>
    <row r="36" spans="1:9" ht="45" customHeight="1">
      <c r="A36" s="37">
        <v>580</v>
      </c>
      <c r="B36" s="38" t="s">
        <v>73</v>
      </c>
      <c r="C36" s="40" t="s">
        <v>74</v>
      </c>
      <c r="D36" s="40" t="s">
        <v>62</v>
      </c>
      <c r="E36" s="41" t="s">
        <v>34</v>
      </c>
      <c r="F36" s="69">
        <v>40</v>
      </c>
      <c r="G36" s="295">
        <v>934</v>
      </c>
      <c r="H36" s="51" t="s">
        <v>63</v>
      </c>
      <c r="I36" s="224"/>
    </row>
    <row r="37" spans="1:9" ht="30" customHeight="1">
      <c r="A37" s="37">
        <v>581</v>
      </c>
      <c r="B37" s="38" t="s">
        <v>75</v>
      </c>
      <c r="C37" s="71" t="s">
        <v>76</v>
      </c>
      <c r="D37" s="40" t="s">
        <v>62</v>
      </c>
      <c r="E37" s="41" t="s">
        <v>77</v>
      </c>
      <c r="F37" s="69">
        <v>22</v>
      </c>
      <c r="G37" s="295">
        <v>1651.9</v>
      </c>
      <c r="H37" s="51" t="s">
        <v>63</v>
      </c>
      <c r="I37" s="224"/>
    </row>
    <row r="38" spans="1:9" ht="30" customHeight="1">
      <c r="A38" s="37">
        <v>582</v>
      </c>
      <c r="B38" s="38" t="s">
        <v>78</v>
      </c>
      <c r="C38" s="40" t="s">
        <v>79</v>
      </c>
      <c r="D38" s="40" t="s">
        <v>62</v>
      </c>
      <c r="E38" s="41" t="s">
        <v>34</v>
      </c>
      <c r="F38" s="69">
        <v>21</v>
      </c>
      <c r="G38" s="295">
        <v>6464.1</v>
      </c>
      <c r="H38" s="51" t="s">
        <v>63</v>
      </c>
      <c r="I38" s="224"/>
    </row>
    <row r="39" spans="1:9" ht="45" customHeight="1">
      <c r="A39" s="37">
        <v>583</v>
      </c>
      <c r="B39" s="38" t="s">
        <v>80</v>
      </c>
      <c r="C39" s="40" t="s">
        <v>81</v>
      </c>
      <c r="D39" s="40" t="s">
        <v>62</v>
      </c>
      <c r="E39" s="41" t="s">
        <v>82</v>
      </c>
      <c r="F39" s="69">
        <v>20.7</v>
      </c>
      <c r="G39" s="295">
        <v>841.14</v>
      </c>
      <c r="H39" s="51" t="s">
        <v>63</v>
      </c>
      <c r="I39" s="224"/>
    </row>
    <row r="40" spans="1:9" ht="30" customHeight="1">
      <c r="A40" s="37">
        <v>584</v>
      </c>
      <c r="B40" s="38" t="s">
        <v>83</v>
      </c>
      <c r="C40" s="40" t="s">
        <v>72</v>
      </c>
      <c r="D40" s="40" t="s">
        <v>62</v>
      </c>
      <c r="E40" s="41" t="s">
        <v>34</v>
      </c>
      <c r="F40" s="69">
        <v>25</v>
      </c>
      <c r="G40" s="295">
        <v>645.9</v>
      </c>
      <c r="H40" s="51" t="s">
        <v>63</v>
      </c>
      <c r="I40" s="224"/>
    </row>
    <row r="41" spans="1:9" ht="30" customHeight="1">
      <c r="A41" s="37">
        <v>585</v>
      </c>
      <c r="B41" s="38" t="s">
        <v>220</v>
      </c>
      <c r="C41" s="40" t="s">
        <v>221</v>
      </c>
      <c r="D41" s="40" t="s">
        <v>62</v>
      </c>
      <c r="E41" s="41" t="s">
        <v>34</v>
      </c>
      <c r="F41" s="69">
        <v>5</v>
      </c>
      <c r="G41" s="295">
        <v>65.5</v>
      </c>
      <c r="H41" s="51" t="s">
        <v>63</v>
      </c>
      <c r="I41" s="224"/>
    </row>
    <row r="42" spans="1:9" ht="45" customHeight="1">
      <c r="A42" s="37">
        <v>586</v>
      </c>
      <c r="B42" s="38" t="s">
        <v>84</v>
      </c>
      <c r="C42" s="40" t="s">
        <v>85</v>
      </c>
      <c r="D42" s="40" t="s">
        <v>62</v>
      </c>
      <c r="E42" s="41" t="s">
        <v>34</v>
      </c>
      <c r="F42" s="69">
        <v>6</v>
      </c>
      <c r="G42" s="295">
        <v>700.2</v>
      </c>
      <c r="H42" s="51" t="s">
        <v>63</v>
      </c>
      <c r="I42" s="224"/>
    </row>
    <row r="43" spans="1:9" ht="30" customHeight="1">
      <c r="A43" s="37">
        <v>587</v>
      </c>
      <c r="B43" s="344" t="s">
        <v>86</v>
      </c>
      <c r="C43" s="345" t="s">
        <v>87</v>
      </c>
      <c r="D43" s="40" t="s">
        <v>62</v>
      </c>
      <c r="E43" s="41" t="s">
        <v>34</v>
      </c>
      <c r="F43" s="69">
        <v>35</v>
      </c>
      <c r="G43" s="295">
        <v>4594.32</v>
      </c>
      <c r="H43" s="51" t="s">
        <v>63</v>
      </c>
      <c r="I43" s="224"/>
    </row>
    <row r="44" spans="1:9" ht="30" customHeight="1">
      <c r="A44" s="37">
        <v>588</v>
      </c>
      <c r="B44" s="38" t="s">
        <v>88</v>
      </c>
      <c r="C44" s="40" t="s">
        <v>85</v>
      </c>
      <c r="D44" s="40" t="s">
        <v>62</v>
      </c>
      <c r="E44" s="41" t="s">
        <v>34</v>
      </c>
      <c r="F44" s="69">
        <v>15</v>
      </c>
      <c r="G44" s="295">
        <v>1862.5</v>
      </c>
      <c r="H44" s="51" t="s">
        <v>63</v>
      </c>
      <c r="I44" s="224"/>
    </row>
    <row r="45" spans="1:9" ht="30" customHeight="1">
      <c r="A45" s="37">
        <v>589</v>
      </c>
      <c r="B45" s="38" t="s">
        <v>89</v>
      </c>
      <c r="C45" s="40" t="s">
        <v>90</v>
      </c>
      <c r="D45" s="40" t="s">
        <v>62</v>
      </c>
      <c r="E45" s="41" t="s">
        <v>34</v>
      </c>
      <c r="F45" s="69">
        <v>22</v>
      </c>
      <c r="G45" s="295">
        <v>1090.4</v>
      </c>
      <c r="H45" s="51" t="s">
        <v>63</v>
      </c>
      <c r="I45" s="224"/>
    </row>
    <row r="46" spans="1:9" ht="30" customHeight="1">
      <c r="A46" s="37">
        <v>590</v>
      </c>
      <c r="B46" s="38" t="s">
        <v>91</v>
      </c>
      <c r="C46" s="40" t="s">
        <v>92</v>
      </c>
      <c r="D46" s="40" t="s">
        <v>62</v>
      </c>
      <c r="E46" s="41" t="s">
        <v>34</v>
      </c>
      <c r="F46" s="69">
        <v>49</v>
      </c>
      <c r="G46" s="295">
        <v>8191.8</v>
      </c>
      <c r="H46" s="51" t="s">
        <v>63</v>
      </c>
      <c r="I46" s="224"/>
    </row>
    <row r="47" spans="1:9" ht="30" customHeight="1">
      <c r="A47" s="37">
        <v>591</v>
      </c>
      <c r="B47" s="38" t="s">
        <v>222</v>
      </c>
      <c r="C47" s="40" t="s">
        <v>223</v>
      </c>
      <c r="D47" s="40" t="s">
        <v>62</v>
      </c>
      <c r="E47" s="41" t="s">
        <v>34</v>
      </c>
      <c r="F47" s="69">
        <v>15</v>
      </c>
      <c r="G47" s="295">
        <v>292</v>
      </c>
      <c r="H47" s="51" t="s">
        <v>63</v>
      </c>
      <c r="I47" s="224"/>
    </row>
    <row r="48" spans="1:9" ht="30" customHeight="1">
      <c r="A48" s="37">
        <v>592</v>
      </c>
      <c r="B48" s="38" t="s">
        <v>274</v>
      </c>
      <c r="C48" s="40" t="s">
        <v>275</v>
      </c>
      <c r="D48" s="40" t="s">
        <v>62</v>
      </c>
      <c r="E48" s="41" t="s">
        <v>34</v>
      </c>
      <c r="F48" s="69">
        <v>50</v>
      </c>
      <c r="G48" s="295">
        <v>1800</v>
      </c>
      <c r="H48" s="51" t="s">
        <v>63</v>
      </c>
      <c r="I48" s="224"/>
    </row>
    <row r="49" spans="1:9" ht="30" customHeight="1">
      <c r="A49" s="37">
        <v>593</v>
      </c>
      <c r="B49" s="38" t="s">
        <v>224</v>
      </c>
      <c r="C49" s="40" t="s">
        <v>225</v>
      </c>
      <c r="D49" s="40" t="s">
        <v>62</v>
      </c>
      <c r="E49" s="41" t="s">
        <v>34</v>
      </c>
      <c r="F49" s="69">
        <v>10</v>
      </c>
      <c r="G49" s="295">
        <v>125.8</v>
      </c>
      <c r="H49" s="51" t="s">
        <v>63</v>
      </c>
      <c r="I49" s="224"/>
    </row>
    <row r="50" spans="1:9" ht="30" customHeight="1">
      <c r="A50" s="37">
        <v>594</v>
      </c>
      <c r="B50" s="40" t="s">
        <v>226</v>
      </c>
      <c r="C50" s="40" t="s">
        <v>227</v>
      </c>
      <c r="D50" s="40" t="s">
        <v>62</v>
      </c>
      <c r="E50" s="41" t="s">
        <v>34</v>
      </c>
      <c r="F50" s="69">
        <v>5</v>
      </c>
      <c r="G50" s="295">
        <v>687.5</v>
      </c>
      <c r="H50" s="51" t="s">
        <v>63</v>
      </c>
      <c r="I50" s="224"/>
    </row>
    <row r="51" spans="1:9" ht="30" customHeight="1">
      <c r="A51" s="37">
        <v>595</v>
      </c>
      <c r="B51" s="40" t="s">
        <v>276</v>
      </c>
      <c r="C51" s="40" t="s">
        <v>277</v>
      </c>
      <c r="D51" s="40" t="s">
        <v>62</v>
      </c>
      <c r="E51" s="41" t="s">
        <v>34</v>
      </c>
      <c r="F51" s="69">
        <v>2</v>
      </c>
      <c r="G51" s="295">
        <v>365.4</v>
      </c>
      <c r="H51" s="51" t="s">
        <v>63</v>
      </c>
      <c r="I51" s="224"/>
    </row>
    <row r="52" spans="1:9" ht="30" customHeight="1">
      <c r="A52" s="37">
        <v>596</v>
      </c>
      <c r="B52" s="40" t="s">
        <v>95</v>
      </c>
      <c r="C52" s="40" t="s">
        <v>96</v>
      </c>
      <c r="D52" s="40" t="s">
        <v>62</v>
      </c>
      <c r="E52" s="41" t="s">
        <v>34</v>
      </c>
      <c r="F52" s="69">
        <v>20</v>
      </c>
      <c r="G52" s="295">
        <v>4103.5</v>
      </c>
      <c r="H52" s="51" t="s">
        <v>63</v>
      </c>
      <c r="I52" s="224"/>
    </row>
    <row r="53" spans="1:9" ht="30" customHeight="1">
      <c r="A53" s="37">
        <v>597</v>
      </c>
      <c r="B53" s="40" t="s">
        <v>97</v>
      </c>
      <c r="C53" s="345" t="s">
        <v>87</v>
      </c>
      <c r="D53" s="40" t="s">
        <v>62</v>
      </c>
      <c r="E53" s="41" t="s">
        <v>34</v>
      </c>
      <c r="F53" s="69">
        <f>63</f>
        <v>63</v>
      </c>
      <c r="G53" s="295">
        <v>14240</v>
      </c>
      <c r="H53" s="51" t="s">
        <v>63</v>
      </c>
      <c r="I53" s="224"/>
    </row>
    <row r="54" spans="1:9" ht="45" customHeight="1">
      <c r="A54" s="37">
        <v>598</v>
      </c>
      <c r="B54" s="54" t="s">
        <v>98</v>
      </c>
      <c r="C54" s="40" t="s">
        <v>61</v>
      </c>
      <c r="D54" s="40" t="s">
        <v>62</v>
      </c>
      <c r="E54" s="41" t="s">
        <v>25</v>
      </c>
      <c r="F54" s="69">
        <v>273</v>
      </c>
      <c r="G54" s="295">
        <v>3499.62</v>
      </c>
      <c r="H54" s="51" t="s">
        <v>63</v>
      </c>
      <c r="I54" s="224"/>
    </row>
    <row r="55" spans="1:9" ht="30" customHeight="1">
      <c r="A55" s="37">
        <v>599</v>
      </c>
      <c r="B55" s="40" t="s">
        <v>99</v>
      </c>
      <c r="C55" s="40" t="s">
        <v>100</v>
      </c>
      <c r="D55" s="40" t="s">
        <v>62</v>
      </c>
      <c r="E55" s="41" t="s">
        <v>34</v>
      </c>
      <c r="F55" s="69">
        <v>30</v>
      </c>
      <c r="G55" s="295">
        <v>9145.02</v>
      </c>
      <c r="H55" s="51" t="s">
        <v>63</v>
      </c>
      <c r="I55" s="224"/>
    </row>
    <row r="56" spans="1:9" ht="30" customHeight="1">
      <c r="A56" s="37">
        <v>600</v>
      </c>
      <c r="B56" s="40" t="s">
        <v>228</v>
      </c>
      <c r="C56" s="40" t="s">
        <v>229</v>
      </c>
      <c r="D56" s="40" t="s">
        <v>62</v>
      </c>
      <c r="E56" s="41" t="s">
        <v>34</v>
      </c>
      <c r="F56" s="69">
        <v>65</v>
      </c>
      <c r="G56" s="295">
        <v>2787.5</v>
      </c>
      <c r="H56" s="51" t="s">
        <v>63</v>
      </c>
      <c r="I56" s="224"/>
    </row>
    <row r="57" spans="1:9" ht="30" customHeight="1">
      <c r="A57" s="37">
        <v>601</v>
      </c>
      <c r="B57" s="40" t="s">
        <v>103</v>
      </c>
      <c r="C57" s="40" t="s">
        <v>104</v>
      </c>
      <c r="D57" s="40" t="s">
        <v>62</v>
      </c>
      <c r="E57" s="41" t="s">
        <v>25</v>
      </c>
      <c r="F57" s="69">
        <v>1000</v>
      </c>
      <c r="G57" s="295">
        <v>4640</v>
      </c>
      <c r="H57" s="51" t="s">
        <v>63</v>
      </c>
      <c r="I57" s="224"/>
    </row>
    <row r="58" spans="1:9" ht="30" customHeight="1">
      <c r="A58" s="37">
        <v>602</v>
      </c>
      <c r="B58" s="40" t="s">
        <v>230</v>
      </c>
      <c r="C58" s="40" t="s">
        <v>231</v>
      </c>
      <c r="D58" s="40" t="s">
        <v>62</v>
      </c>
      <c r="E58" s="41" t="s">
        <v>77</v>
      </c>
      <c r="F58" s="69">
        <v>19</v>
      </c>
      <c r="G58" s="295">
        <v>1135.9</v>
      </c>
      <c r="H58" s="51" t="s">
        <v>63</v>
      </c>
      <c r="I58" s="224"/>
    </row>
    <row r="59" spans="1:9" ht="30" customHeight="1">
      <c r="A59" s="37">
        <v>603</v>
      </c>
      <c r="B59" s="38" t="s">
        <v>232</v>
      </c>
      <c r="C59" s="40" t="s">
        <v>85</v>
      </c>
      <c r="D59" s="40" t="s">
        <v>62</v>
      </c>
      <c r="E59" s="41" t="s">
        <v>34</v>
      </c>
      <c r="F59" s="69">
        <v>9</v>
      </c>
      <c r="G59" s="295">
        <v>986.12</v>
      </c>
      <c r="H59" s="51" t="s">
        <v>63</v>
      </c>
      <c r="I59" s="224"/>
    </row>
    <row r="60" spans="1:9" ht="30" customHeight="1">
      <c r="A60" s="37">
        <v>604</v>
      </c>
      <c r="B60" s="38" t="s">
        <v>105</v>
      </c>
      <c r="C60" s="40" t="s">
        <v>70</v>
      </c>
      <c r="D60" s="40" t="s">
        <v>62</v>
      </c>
      <c r="E60" s="41" t="s">
        <v>34</v>
      </c>
      <c r="F60" s="69">
        <v>27</v>
      </c>
      <c r="G60" s="295">
        <v>895.3</v>
      </c>
      <c r="H60" s="51" t="s">
        <v>63</v>
      </c>
      <c r="I60" s="224"/>
    </row>
    <row r="61" spans="1:9" ht="30" customHeight="1">
      <c r="A61" s="37">
        <v>605</v>
      </c>
      <c r="B61" s="38" t="s">
        <v>278</v>
      </c>
      <c r="C61" s="40" t="s">
        <v>70</v>
      </c>
      <c r="D61" s="40" t="s">
        <v>62</v>
      </c>
      <c r="E61" s="41" t="s">
        <v>34</v>
      </c>
      <c r="F61" s="69">
        <v>2</v>
      </c>
      <c r="G61" s="295">
        <v>36.2</v>
      </c>
      <c r="H61" s="51" t="s">
        <v>63</v>
      </c>
      <c r="I61" s="224"/>
    </row>
    <row r="62" spans="1:9" ht="30" customHeight="1">
      <c r="A62" s="37">
        <v>606</v>
      </c>
      <c r="B62" s="40" t="s">
        <v>269</v>
      </c>
      <c r="C62" s="40" t="s">
        <v>270</v>
      </c>
      <c r="D62" s="40" t="s">
        <v>62</v>
      </c>
      <c r="E62" s="41" t="s">
        <v>34</v>
      </c>
      <c r="F62" s="69">
        <v>0.2</v>
      </c>
      <c r="G62" s="295">
        <v>74.88</v>
      </c>
      <c r="H62" s="51" t="s">
        <v>63</v>
      </c>
      <c r="I62" s="224"/>
    </row>
    <row r="63" spans="1:9" s="10" customFormat="1" ht="30" customHeight="1">
      <c r="A63" s="296"/>
      <c r="B63" s="308" t="s">
        <v>106</v>
      </c>
      <c r="C63" s="331"/>
      <c r="D63" s="263"/>
      <c r="E63" s="263"/>
      <c r="F63" s="261"/>
      <c r="G63" s="297">
        <f>SUM(G32:G62)</f>
        <v>77430</v>
      </c>
      <c r="H63" s="265"/>
      <c r="I63" s="224"/>
    </row>
    <row r="64" spans="1:9" ht="30" customHeight="1">
      <c r="A64" s="37">
        <v>607</v>
      </c>
      <c r="B64" s="38" t="s">
        <v>235</v>
      </c>
      <c r="C64" s="40" t="s">
        <v>116</v>
      </c>
      <c r="D64" s="40" t="s">
        <v>109</v>
      </c>
      <c r="E64" s="41" t="s">
        <v>25</v>
      </c>
      <c r="F64" s="50" t="s">
        <v>117</v>
      </c>
      <c r="G64" s="295">
        <v>297</v>
      </c>
      <c r="H64" s="51" t="s">
        <v>63</v>
      </c>
      <c r="I64" s="224"/>
    </row>
    <row r="65" spans="1:9" ht="30" customHeight="1">
      <c r="A65" s="37">
        <v>608</v>
      </c>
      <c r="B65" s="38" t="s">
        <v>377</v>
      </c>
      <c r="C65" s="40" t="s">
        <v>119</v>
      </c>
      <c r="D65" s="40" t="s">
        <v>109</v>
      </c>
      <c r="E65" s="41" t="s">
        <v>120</v>
      </c>
      <c r="F65" s="157" t="s">
        <v>121</v>
      </c>
      <c r="G65" s="295">
        <v>3627.58</v>
      </c>
      <c r="H65" s="51" t="s">
        <v>63</v>
      </c>
      <c r="I65" s="224"/>
    </row>
    <row r="66" spans="1:9" ht="45" customHeight="1">
      <c r="A66" s="37">
        <v>609</v>
      </c>
      <c r="B66" s="38" t="s">
        <v>378</v>
      </c>
      <c r="C66" s="249" t="s">
        <v>242</v>
      </c>
      <c r="D66" s="40" t="s">
        <v>109</v>
      </c>
      <c r="E66" s="41" t="s">
        <v>25</v>
      </c>
      <c r="F66" s="41">
        <v>2</v>
      </c>
      <c r="G66" s="295">
        <v>384.48</v>
      </c>
      <c r="H66" s="51" t="s">
        <v>132</v>
      </c>
      <c r="I66" s="224"/>
    </row>
    <row r="67" spans="1:9" ht="30" customHeight="1">
      <c r="A67" s="37">
        <v>610</v>
      </c>
      <c r="B67" s="38" t="s">
        <v>379</v>
      </c>
      <c r="C67" s="40" t="s">
        <v>239</v>
      </c>
      <c r="D67" s="40" t="s">
        <v>109</v>
      </c>
      <c r="E67" s="41" t="s">
        <v>285</v>
      </c>
      <c r="F67" s="41">
        <v>275</v>
      </c>
      <c r="G67" s="295">
        <v>814</v>
      </c>
      <c r="H67" s="51" t="s">
        <v>19</v>
      </c>
      <c r="I67" s="224"/>
    </row>
    <row r="68" spans="1:9" ht="30" customHeight="1">
      <c r="A68" s="37">
        <v>611</v>
      </c>
      <c r="B68" s="40" t="s">
        <v>111</v>
      </c>
      <c r="C68" s="250" t="s">
        <v>112</v>
      </c>
      <c r="D68" s="40" t="s">
        <v>109</v>
      </c>
      <c r="E68" s="41" t="s">
        <v>77</v>
      </c>
      <c r="F68" s="41">
        <v>2400</v>
      </c>
      <c r="G68" s="295">
        <v>2880</v>
      </c>
      <c r="H68" s="51" t="s">
        <v>63</v>
      </c>
      <c r="I68" s="224"/>
    </row>
    <row r="69" spans="1:9" ht="30" customHeight="1">
      <c r="A69" s="37">
        <v>612</v>
      </c>
      <c r="B69" s="38" t="s">
        <v>380</v>
      </c>
      <c r="C69" s="40" t="s">
        <v>123</v>
      </c>
      <c r="D69" s="40" t="s">
        <v>109</v>
      </c>
      <c r="E69" s="41" t="s">
        <v>113</v>
      </c>
      <c r="F69" s="41" t="s">
        <v>117</v>
      </c>
      <c r="G69" s="295">
        <v>1413</v>
      </c>
      <c r="H69" s="51" t="s">
        <v>63</v>
      </c>
      <c r="I69" s="224"/>
    </row>
    <row r="70" spans="1:9" ht="30" customHeight="1">
      <c r="A70" s="37">
        <v>613</v>
      </c>
      <c r="B70" s="38" t="s">
        <v>130</v>
      </c>
      <c r="C70" s="40" t="s">
        <v>131</v>
      </c>
      <c r="D70" s="40" t="s">
        <v>109</v>
      </c>
      <c r="E70" s="41" t="s">
        <v>25</v>
      </c>
      <c r="F70" s="41">
        <v>6</v>
      </c>
      <c r="G70" s="295">
        <v>1512</v>
      </c>
      <c r="H70" s="51" t="s">
        <v>132</v>
      </c>
      <c r="I70" s="224"/>
    </row>
    <row r="71" spans="1:9" ht="30" customHeight="1">
      <c r="A71" s="37">
        <v>614</v>
      </c>
      <c r="B71" s="38" t="s">
        <v>321</v>
      </c>
      <c r="C71" s="40" t="s">
        <v>239</v>
      </c>
      <c r="D71" s="40" t="s">
        <v>109</v>
      </c>
      <c r="E71" s="41" t="s">
        <v>285</v>
      </c>
      <c r="F71" s="41">
        <v>543</v>
      </c>
      <c r="G71" s="295">
        <v>1400.94</v>
      </c>
      <c r="H71" s="51" t="s">
        <v>19</v>
      </c>
      <c r="I71" s="224"/>
    </row>
    <row r="72" spans="1:12" s="10" customFormat="1" ht="30" customHeight="1">
      <c r="A72" s="296"/>
      <c r="B72" s="260" t="s">
        <v>136</v>
      </c>
      <c r="C72" s="261"/>
      <c r="D72" s="262"/>
      <c r="E72" s="263"/>
      <c r="F72" s="263"/>
      <c r="G72" s="297">
        <f>SUM(G64:G71)</f>
        <v>12329</v>
      </c>
      <c r="H72" s="265"/>
      <c r="I72" s="224"/>
      <c r="K72" s="267">
        <f>SUM(K64:K71)</f>
        <v>0</v>
      </c>
      <c r="L72" s="267" t="e">
        <f>SUM(#REF!)</f>
        <v>#REF!</v>
      </c>
    </row>
    <row r="73" spans="1:11" ht="30" customHeight="1">
      <c r="A73" s="37">
        <v>615</v>
      </c>
      <c r="B73" s="38" t="s">
        <v>137</v>
      </c>
      <c r="C73" s="52" t="s">
        <v>138</v>
      </c>
      <c r="D73" s="40" t="s">
        <v>139</v>
      </c>
      <c r="E73" s="41" t="s">
        <v>140</v>
      </c>
      <c r="F73" s="53">
        <f>G73/2878.55</f>
        <v>142.75242743742507</v>
      </c>
      <c r="G73" s="295">
        <v>410920</v>
      </c>
      <c r="H73" s="40" t="s">
        <v>63</v>
      </c>
      <c r="I73" s="224"/>
      <c r="K73" s="12">
        <v>169940</v>
      </c>
    </row>
    <row r="74" spans="1:9" s="10" customFormat="1" ht="30" customHeight="1">
      <c r="A74" s="296"/>
      <c r="B74" s="260" t="s">
        <v>141</v>
      </c>
      <c r="C74" s="261"/>
      <c r="D74" s="262"/>
      <c r="E74" s="263"/>
      <c r="F74" s="263"/>
      <c r="G74" s="297">
        <f>SUM(G73:G73)</f>
        <v>410920</v>
      </c>
      <c r="H74" s="265"/>
      <c r="I74" s="224"/>
    </row>
    <row r="75" spans="1:13" ht="30" customHeight="1">
      <c r="A75" s="37">
        <v>616</v>
      </c>
      <c r="B75" s="38" t="s">
        <v>142</v>
      </c>
      <c r="C75" s="54" t="s">
        <v>143</v>
      </c>
      <c r="D75" s="40" t="s">
        <v>144</v>
      </c>
      <c r="E75" s="41" t="s">
        <v>145</v>
      </c>
      <c r="F75" s="56">
        <f>G75/4.143</f>
        <v>5120.444122616462</v>
      </c>
      <c r="G75" s="295">
        <v>21214</v>
      </c>
      <c r="H75" s="40" t="s">
        <v>63</v>
      </c>
      <c r="I75" s="224"/>
      <c r="K75" s="12">
        <f>6930+970</f>
        <v>7900</v>
      </c>
      <c r="L75" s="240">
        <f>F75-J75</f>
        <v>5120.444122616462</v>
      </c>
      <c r="M75" s="74">
        <f>G75-K75</f>
        <v>13314</v>
      </c>
    </row>
    <row r="76" spans="1:9" s="10" customFormat="1" ht="30" customHeight="1">
      <c r="A76" s="296"/>
      <c r="B76" s="260" t="s">
        <v>146</v>
      </c>
      <c r="C76" s="261"/>
      <c r="D76" s="262"/>
      <c r="E76" s="262"/>
      <c r="F76" s="262"/>
      <c r="G76" s="297">
        <f>G75</f>
        <v>21214</v>
      </c>
      <c r="H76" s="265"/>
      <c r="I76" s="224"/>
    </row>
    <row r="77" spans="1:9" ht="22.5" customHeight="1">
      <c r="A77" s="19"/>
      <c r="B77" s="208" t="s">
        <v>151</v>
      </c>
      <c r="C77" s="167"/>
      <c r="D77" s="168"/>
      <c r="E77" s="207"/>
      <c r="F77" s="170"/>
      <c r="G77" s="304"/>
      <c r="H77" s="171"/>
      <c r="I77" s="223"/>
    </row>
    <row r="78" spans="1:9" ht="22.5" customHeight="1">
      <c r="A78" s="19"/>
      <c r="B78" s="106" t="s">
        <v>152</v>
      </c>
      <c r="C78" s="107"/>
      <c r="D78" s="108" t="s">
        <v>153</v>
      </c>
      <c r="E78" s="109"/>
      <c r="F78" s="109"/>
      <c r="G78" s="304"/>
      <c r="H78" s="171"/>
      <c r="I78" s="223"/>
    </row>
    <row r="79" spans="1:9" s="8" customFormat="1" ht="22.5" customHeight="1">
      <c r="A79" s="19"/>
      <c r="B79" s="111"/>
      <c r="C79" s="9"/>
      <c r="D79" s="112" t="s">
        <v>154</v>
      </c>
      <c r="E79" s="113" t="s">
        <v>155</v>
      </c>
      <c r="F79" s="114"/>
      <c r="G79" s="304"/>
      <c r="H79" s="171"/>
      <c r="I79" s="223"/>
    </row>
    <row r="80" spans="1:9" s="8" customFormat="1" ht="22.5" customHeight="1">
      <c r="A80" s="19"/>
      <c r="B80" s="115" t="s">
        <v>156</v>
      </c>
      <c r="C80" s="116"/>
      <c r="D80" s="108" t="s">
        <v>157</v>
      </c>
      <c r="E80" s="109"/>
      <c r="F80" s="109"/>
      <c r="G80" s="304"/>
      <c r="H80" s="171"/>
      <c r="I80" s="223"/>
    </row>
    <row r="81" spans="1:9" ht="22.5" customHeight="1">
      <c r="A81" s="19"/>
      <c r="B81" s="111"/>
      <c r="C81" s="9"/>
      <c r="D81" s="112" t="s">
        <v>154</v>
      </c>
      <c r="E81" s="113"/>
      <c r="F81" s="114"/>
      <c r="G81" s="304"/>
      <c r="H81" s="8"/>
      <c r="I81" s="141"/>
    </row>
    <row r="82" spans="1:9" s="8" customFormat="1" ht="22.5" customHeight="1">
      <c r="A82" s="19"/>
      <c r="B82" s="115" t="s">
        <v>158</v>
      </c>
      <c r="C82" s="9"/>
      <c r="D82" s="9"/>
      <c r="E82" s="9"/>
      <c r="F82" s="9"/>
      <c r="G82" s="304"/>
      <c r="H82" s="171"/>
      <c r="I82" s="223"/>
    </row>
    <row r="83" spans="1:9" s="2" customFormat="1" ht="30" customHeight="1">
      <c r="A83" s="169"/>
      <c r="B83" s="229" t="s">
        <v>159</v>
      </c>
      <c r="C83" s="167"/>
      <c r="D83" s="291" t="s">
        <v>160</v>
      </c>
      <c r="E83" s="229"/>
      <c r="F83" s="170"/>
      <c r="G83" s="307"/>
      <c r="H83" s="171"/>
      <c r="I83" s="326"/>
    </row>
    <row r="84" spans="1:9" ht="22.5" customHeight="1">
      <c r="A84" s="19"/>
      <c r="B84" s="230" t="s">
        <v>161</v>
      </c>
      <c r="C84" s="167"/>
      <c r="D84" s="168"/>
      <c r="E84" s="207"/>
      <c r="F84" s="170"/>
      <c r="G84" s="304"/>
      <c r="H84" s="171"/>
      <c r="I84" s="223"/>
    </row>
  </sheetData>
  <sheetProtection/>
  <mergeCells count="17">
    <mergeCell ref="F1:G1"/>
    <mergeCell ref="A2:I2"/>
    <mergeCell ref="B31:C31"/>
    <mergeCell ref="B63:C63"/>
    <mergeCell ref="B72:C72"/>
    <mergeCell ref="B74:C74"/>
    <mergeCell ref="B76:C7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76"/>
  </mergeCells>
  <hyperlinks>
    <hyperlink ref="C30" r:id="rId1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79"/>
  <sheetViews>
    <sheetView view="pageBreakPreview" zoomScale="90" zoomScaleNormal="90" zoomScaleSheetLayoutView="90" workbookViewId="0" topLeftCell="A34">
      <selection activeCell="B32" sqref="B32:C49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" customHeight="1">
      <c r="A2" s="317" t="s">
        <v>381</v>
      </c>
      <c r="B2" s="317"/>
      <c r="C2" s="317"/>
      <c r="D2" s="317"/>
      <c r="E2" s="317"/>
      <c r="F2" s="317"/>
      <c r="G2" s="317"/>
      <c r="H2" s="317"/>
      <c r="I2" s="317"/>
    </row>
    <row r="3" spans="3:9" ht="15" customHeight="1">
      <c r="C3" s="124"/>
      <c r="D3" s="125" t="s">
        <v>4</v>
      </c>
      <c r="E3" s="124"/>
      <c r="F3" s="124"/>
      <c r="G3" s="3"/>
      <c r="H3" s="16"/>
      <c r="I3" s="16"/>
    </row>
    <row r="4" ht="15" customHeight="1"/>
    <row r="5" spans="1:11" ht="15.75" customHeight="1">
      <c r="A5" s="26" t="s">
        <v>5</v>
      </c>
      <c r="B5" s="27" t="s">
        <v>6</v>
      </c>
      <c r="C5" s="28" t="s">
        <v>7</v>
      </c>
      <c r="D5" s="28" t="s">
        <v>249</v>
      </c>
      <c r="E5" s="28" t="s">
        <v>9</v>
      </c>
      <c r="F5" s="28" t="s">
        <v>10</v>
      </c>
      <c r="G5" s="28" t="s">
        <v>250</v>
      </c>
      <c r="H5" s="28" t="s">
        <v>251</v>
      </c>
      <c r="I5" s="28" t="s">
        <v>13</v>
      </c>
      <c r="J5" s="71"/>
      <c r="K5" s="71"/>
    </row>
    <row r="6" spans="1:9" ht="31.5" customHeight="1">
      <c r="A6" s="29"/>
      <c r="B6" s="30"/>
      <c r="C6" s="31"/>
      <c r="D6" s="31"/>
      <c r="E6" s="31"/>
      <c r="F6" s="31"/>
      <c r="G6" s="31"/>
      <c r="H6" s="31"/>
      <c r="I6" s="31"/>
    </row>
    <row r="7" spans="1:9" ht="37.5" customHeight="1">
      <c r="A7" s="32"/>
      <c r="B7" s="33"/>
      <c r="C7" s="34"/>
      <c r="D7" s="34"/>
      <c r="E7" s="34"/>
      <c r="F7" s="34"/>
      <c r="G7" s="34"/>
      <c r="H7" s="34"/>
      <c r="I7" s="34"/>
    </row>
    <row r="8" spans="1:9" ht="20.25" customHeight="1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72">
        <v>9</v>
      </c>
    </row>
    <row r="9" spans="1:12" ht="30" customHeight="1">
      <c r="A9" s="37">
        <v>502</v>
      </c>
      <c r="B9" s="38" t="s">
        <v>382</v>
      </c>
      <c r="C9" s="39" t="s">
        <v>24</v>
      </c>
      <c r="D9" s="40" t="s">
        <v>17</v>
      </c>
      <c r="E9" s="41" t="s">
        <v>25</v>
      </c>
      <c r="F9" s="41">
        <v>10</v>
      </c>
      <c r="G9" s="295">
        <v>143.3</v>
      </c>
      <c r="H9" s="155" t="s">
        <v>19</v>
      </c>
      <c r="I9" s="73" t="s">
        <v>253</v>
      </c>
      <c r="L9" s="74"/>
    </row>
    <row r="10" spans="1:12" ht="30" customHeight="1">
      <c r="A10" s="37">
        <v>503</v>
      </c>
      <c r="B10" s="38" t="s">
        <v>23</v>
      </c>
      <c r="C10" s="43" t="s">
        <v>24</v>
      </c>
      <c r="D10" s="40" t="s">
        <v>17</v>
      </c>
      <c r="E10" s="41" t="s">
        <v>25</v>
      </c>
      <c r="F10" s="41">
        <v>3</v>
      </c>
      <c r="G10" s="295">
        <v>523.26</v>
      </c>
      <c r="H10" s="155" t="s">
        <v>19</v>
      </c>
      <c r="I10" s="100"/>
      <c r="L10" s="74"/>
    </row>
    <row r="11" spans="1:12" ht="30" customHeight="1">
      <c r="A11" s="37">
        <v>504</v>
      </c>
      <c r="B11" s="38" t="s">
        <v>15</v>
      </c>
      <c r="C11" s="43" t="s">
        <v>16</v>
      </c>
      <c r="D11" s="40" t="s">
        <v>17</v>
      </c>
      <c r="E11" s="41" t="s">
        <v>18</v>
      </c>
      <c r="F11" s="41">
        <v>10</v>
      </c>
      <c r="G11" s="295">
        <v>2100</v>
      </c>
      <c r="H11" s="155" t="s">
        <v>19</v>
      </c>
      <c r="I11" s="100"/>
      <c r="L11" s="74"/>
    </row>
    <row r="12" spans="1:12" ht="30" customHeight="1">
      <c r="A12" s="37">
        <v>505</v>
      </c>
      <c r="B12" s="98" t="s">
        <v>202</v>
      </c>
      <c r="C12" s="99" t="s">
        <v>27</v>
      </c>
      <c r="D12" s="40" t="s">
        <v>17</v>
      </c>
      <c r="E12" s="41" t="s">
        <v>25</v>
      </c>
      <c r="F12" s="41">
        <v>10</v>
      </c>
      <c r="G12" s="295">
        <v>593.5</v>
      </c>
      <c r="H12" s="155" t="s">
        <v>19</v>
      </c>
      <c r="I12" s="100"/>
      <c r="L12" s="74"/>
    </row>
    <row r="13" spans="1:12" ht="45" customHeight="1">
      <c r="A13" s="37">
        <v>506</v>
      </c>
      <c r="B13" s="38" t="s">
        <v>255</v>
      </c>
      <c r="C13" s="40" t="s">
        <v>27</v>
      </c>
      <c r="D13" s="40" t="s">
        <v>17</v>
      </c>
      <c r="E13" s="41" t="s">
        <v>22</v>
      </c>
      <c r="F13" s="41">
        <v>2</v>
      </c>
      <c r="G13" s="295">
        <v>352.74</v>
      </c>
      <c r="H13" s="155" t="s">
        <v>19</v>
      </c>
      <c r="I13" s="100"/>
      <c r="L13" s="74"/>
    </row>
    <row r="14" spans="1:12" ht="44.25" customHeight="1">
      <c r="A14" s="37">
        <v>507</v>
      </c>
      <c r="B14" s="38" t="s">
        <v>383</v>
      </c>
      <c r="C14" s="241" t="s">
        <v>346</v>
      </c>
      <c r="D14" s="40" t="s">
        <v>17</v>
      </c>
      <c r="E14" s="41" t="s">
        <v>25</v>
      </c>
      <c r="F14" s="41">
        <v>1</v>
      </c>
      <c r="G14" s="295">
        <v>990</v>
      </c>
      <c r="H14" s="155" t="s">
        <v>19</v>
      </c>
      <c r="I14" s="100"/>
      <c r="L14" s="74"/>
    </row>
    <row r="15" spans="1:12" ht="30.75" customHeight="1">
      <c r="A15" s="37">
        <v>508</v>
      </c>
      <c r="B15" s="38" t="s">
        <v>257</v>
      </c>
      <c r="C15" s="43" t="s">
        <v>33</v>
      </c>
      <c r="D15" s="40" t="s">
        <v>17</v>
      </c>
      <c r="E15" s="41" t="s">
        <v>193</v>
      </c>
      <c r="F15" s="41">
        <v>40</v>
      </c>
      <c r="G15" s="295">
        <v>4800</v>
      </c>
      <c r="H15" s="155" t="s">
        <v>19</v>
      </c>
      <c r="I15" s="100"/>
      <c r="L15" s="74"/>
    </row>
    <row r="16" spans="1:12" ht="30" customHeight="1">
      <c r="A16" s="37">
        <v>509</v>
      </c>
      <c r="B16" s="38" t="s">
        <v>368</v>
      </c>
      <c r="C16" s="40" t="s">
        <v>42</v>
      </c>
      <c r="D16" s="40" t="s">
        <v>17</v>
      </c>
      <c r="E16" s="41" t="s">
        <v>25</v>
      </c>
      <c r="F16" s="41">
        <v>5</v>
      </c>
      <c r="G16" s="295">
        <v>760</v>
      </c>
      <c r="H16" s="155" t="s">
        <v>19</v>
      </c>
      <c r="I16" s="100"/>
      <c r="J16" s="12">
        <v>1</v>
      </c>
      <c r="K16" s="12">
        <v>204</v>
      </c>
      <c r="L16" s="74" t="e">
        <f>#REF!-K16</f>
        <v>#REF!</v>
      </c>
    </row>
    <row r="17" spans="1:12" ht="30.75" customHeight="1">
      <c r="A17" s="37">
        <v>510</v>
      </c>
      <c r="B17" s="98" t="s">
        <v>384</v>
      </c>
      <c r="C17" s="40" t="s">
        <v>179</v>
      </c>
      <c r="D17" s="40" t="s">
        <v>17</v>
      </c>
      <c r="E17" s="41" t="s">
        <v>25</v>
      </c>
      <c r="F17" s="41">
        <v>2</v>
      </c>
      <c r="G17" s="295">
        <v>444.1</v>
      </c>
      <c r="H17" s="155" t="s">
        <v>19</v>
      </c>
      <c r="I17" s="100"/>
      <c r="L17" s="74"/>
    </row>
    <row r="18" spans="1:12" ht="30.75" customHeight="1">
      <c r="A18" s="37">
        <v>511</v>
      </c>
      <c r="B18" s="38" t="s">
        <v>385</v>
      </c>
      <c r="C18" s="241" t="s">
        <v>44</v>
      </c>
      <c r="D18" s="40" t="s">
        <v>17</v>
      </c>
      <c r="E18" s="41" t="s">
        <v>25</v>
      </c>
      <c r="F18" s="41">
        <v>2</v>
      </c>
      <c r="G18" s="295">
        <v>1627.22</v>
      </c>
      <c r="H18" s="155" t="s">
        <v>19</v>
      </c>
      <c r="I18" s="100"/>
      <c r="L18" s="74"/>
    </row>
    <row r="19" spans="1:12" ht="30.75" customHeight="1">
      <c r="A19" s="37">
        <v>512</v>
      </c>
      <c r="B19" s="38" t="s">
        <v>386</v>
      </c>
      <c r="C19" s="43" t="s">
        <v>387</v>
      </c>
      <c r="D19" s="40" t="s">
        <v>17</v>
      </c>
      <c r="E19" s="41" t="s">
        <v>25</v>
      </c>
      <c r="F19" s="41">
        <v>30</v>
      </c>
      <c r="G19" s="295">
        <v>680.1</v>
      </c>
      <c r="H19" s="155" t="s">
        <v>19</v>
      </c>
      <c r="I19" s="100"/>
      <c r="L19" s="74"/>
    </row>
    <row r="20" spans="1:12" ht="30.75" customHeight="1">
      <c r="A20" s="37">
        <v>513</v>
      </c>
      <c r="B20" s="38" t="s">
        <v>388</v>
      </c>
      <c r="C20" s="43" t="s">
        <v>389</v>
      </c>
      <c r="D20" s="40" t="s">
        <v>17</v>
      </c>
      <c r="E20" s="41" t="s">
        <v>25</v>
      </c>
      <c r="F20" s="41">
        <v>10</v>
      </c>
      <c r="G20" s="295">
        <v>366.5</v>
      </c>
      <c r="H20" s="155" t="s">
        <v>19</v>
      </c>
      <c r="I20" s="100"/>
      <c r="L20" s="74"/>
    </row>
    <row r="21" spans="1:12" ht="45" customHeight="1">
      <c r="A21" s="37">
        <v>514</v>
      </c>
      <c r="B21" s="98" t="s">
        <v>390</v>
      </c>
      <c r="C21" s="40" t="s">
        <v>391</v>
      </c>
      <c r="D21" s="40" t="s">
        <v>17</v>
      </c>
      <c r="E21" s="41" t="s">
        <v>25</v>
      </c>
      <c r="F21" s="41">
        <v>2</v>
      </c>
      <c r="G21" s="295">
        <v>256.38</v>
      </c>
      <c r="H21" s="155" t="s">
        <v>19</v>
      </c>
      <c r="I21" s="100"/>
      <c r="L21" s="74"/>
    </row>
    <row r="22" spans="1:12" ht="30.75" customHeight="1">
      <c r="A22" s="37">
        <v>515</v>
      </c>
      <c r="B22" s="38" t="s">
        <v>392</v>
      </c>
      <c r="C22" s="241" t="s">
        <v>42</v>
      </c>
      <c r="D22" s="40" t="s">
        <v>17</v>
      </c>
      <c r="E22" s="41" t="s">
        <v>25</v>
      </c>
      <c r="F22" s="41">
        <v>1</v>
      </c>
      <c r="G22" s="295">
        <v>202.06</v>
      </c>
      <c r="H22" s="155" t="s">
        <v>19</v>
      </c>
      <c r="I22" s="100"/>
      <c r="L22" s="74"/>
    </row>
    <row r="23" spans="1:12" ht="30" customHeight="1">
      <c r="A23" s="37">
        <v>516</v>
      </c>
      <c r="B23" s="38" t="s">
        <v>393</v>
      </c>
      <c r="C23" s="43" t="s">
        <v>24</v>
      </c>
      <c r="D23" s="40" t="s">
        <v>17</v>
      </c>
      <c r="E23" s="41" t="s">
        <v>25</v>
      </c>
      <c r="F23" s="41">
        <v>4</v>
      </c>
      <c r="G23" s="295">
        <v>582.36</v>
      </c>
      <c r="H23" s="155" t="s">
        <v>19</v>
      </c>
      <c r="I23" s="100"/>
      <c r="L23" s="74"/>
    </row>
    <row r="24" spans="1:12" ht="30.75" customHeight="1">
      <c r="A24" s="37">
        <v>517</v>
      </c>
      <c r="B24" s="38" t="s">
        <v>394</v>
      </c>
      <c r="C24" s="43" t="s">
        <v>40</v>
      </c>
      <c r="D24" s="40" t="s">
        <v>17</v>
      </c>
      <c r="E24" s="41" t="s">
        <v>25</v>
      </c>
      <c r="F24" s="41">
        <v>1</v>
      </c>
      <c r="G24" s="295">
        <v>83.06</v>
      </c>
      <c r="H24" s="155" t="s">
        <v>19</v>
      </c>
      <c r="I24" s="100"/>
      <c r="L24" s="74"/>
    </row>
    <row r="25" spans="1:12" ht="30.75" customHeight="1">
      <c r="A25" s="37">
        <v>518</v>
      </c>
      <c r="B25" s="38" t="s">
        <v>395</v>
      </c>
      <c r="C25" s="43" t="s">
        <v>387</v>
      </c>
      <c r="D25" s="40" t="s">
        <v>17</v>
      </c>
      <c r="E25" s="41" t="s">
        <v>25</v>
      </c>
      <c r="F25" s="41">
        <v>50</v>
      </c>
      <c r="G25" s="295">
        <v>1956.5</v>
      </c>
      <c r="H25" s="155" t="s">
        <v>19</v>
      </c>
      <c r="I25" s="100"/>
      <c r="L25" s="74"/>
    </row>
    <row r="26" spans="1:12" ht="30.75" customHeight="1">
      <c r="A26" s="37">
        <v>519</v>
      </c>
      <c r="B26" s="98" t="s">
        <v>396</v>
      </c>
      <c r="C26" s="40" t="s">
        <v>179</v>
      </c>
      <c r="D26" s="40" t="s">
        <v>17</v>
      </c>
      <c r="E26" s="41" t="s">
        <v>25</v>
      </c>
      <c r="F26" s="41">
        <v>10</v>
      </c>
      <c r="G26" s="295">
        <v>525</v>
      </c>
      <c r="H26" s="155" t="s">
        <v>19</v>
      </c>
      <c r="I26" s="100"/>
      <c r="L26" s="74"/>
    </row>
    <row r="27" spans="1:12" ht="45" customHeight="1">
      <c r="A27" s="37">
        <v>520</v>
      </c>
      <c r="B27" s="98" t="s">
        <v>397</v>
      </c>
      <c r="C27" s="40" t="s">
        <v>52</v>
      </c>
      <c r="D27" s="40" t="s">
        <v>17</v>
      </c>
      <c r="E27" s="41" t="s">
        <v>25</v>
      </c>
      <c r="F27" s="41">
        <v>6</v>
      </c>
      <c r="G27" s="295">
        <v>544.08</v>
      </c>
      <c r="H27" s="155" t="s">
        <v>19</v>
      </c>
      <c r="I27" s="100"/>
      <c r="L27" s="74"/>
    </row>
    <row r="28" spans="1:12" ht="30.75" customHeight="1">
      <c r="A28" s="37">
        <v>521</v>
      </c>
      <c r="B28" s="38" t="s">
        <v>398</v>
      </c>
      <c r="C28" s="241" t="s">
        <v>399</v>
      </c>
      <c r="D28" s="40" t="s">
        <v>17</v>
      </c>
      <c r="E28" s="41" t="s">
        <v>25</v>
      </c>
      <c r="F28" s="41">
        <v>2</v>
      </c>
      <c r="G28" s="295">
        <v>259.64</v>
      </c>
      <c r="H28" s="155" t="s">
        <v>19</v>
      </c>
      <c r="I28" s="100"/>
      <c r="L28" s="74"/>
    </row>
    <row r="29" spans="1:12" ht="30.75" customHeight="1">
      <c r="A29" s="37">
        <v>522</v>
      </c>
      <c r="B29" s="38" t="s">
        <v>400</v>
      </c>
      <c r="C29" s="40" t="s">
        <v>294</v>
      </c>
      <c r="D29" s="40" t="s">
        <v>17</v>
      </c>
      <c r="E29" s="41" t="s">
        <v>25</v>
      </c>
      <c r="F29" s="41">
        <v>6</v>
      </c>
      <c r="G29" s="295">
        <v>7200</v>
      </c>
      <c r="H29" s="155" t="s">
        <v>19</v>
      </c>
      <c r="I29" s="100"/>
      <c r="L29" s="74"/>
    </row>
    <row r="30" spans="1:12" ht="30" customHeight="1">
      <c r="A30" s="37">
        <v>523</v>
      </c>
      <c r="B30" s="38" t="s">
        <v>57</v>
      </c>
      <c r="C30" s="40" t="s">
        <v>58</v>
      </c>
      <c r="D30" s="40" t="s">
        <v>17</v>
      </c>
      <c r="E30" s="41" t="s">
        <v>25</v>
      </c>
      <c r="F30" s="41">
        <v>1</v>
      </c>
      <c r="G30" s="295">
        <v>2500.2</v>
      </c>
      <c r="H30" s="155" t="s">
        <v>19</v>
      </c>
      <c r="I30" s="100"/>
      <c r="L30" s="74"/>
    </row>
    <row r="31" spans="1:12" s="10" customFormat="1" ht="30.75" customHeight="1">
      <c r="A31" s="296"/>
      <c r="B31" s="308" t="s">
        <v>59</v>
      </c>
      <c r="C31" s="261"/>
      <c r="D31" s="262"/>
      <c r="E31" s="263"/>
      <c r="F31" s="263"/>
      <c r="G31" s="297">
        <f>SUM(G9:G30)</f>
        <v>27490</v>
      </c>
      <c r="H31" s="265"/>
      <c r="I31" s="100"/>
      <c r="L31" s="267">
        <f>G31-K31</f>
        <v>27490</v>
      </c>
    </row>
    <row r="32" spans="1:12" ht="30" customHeight="1">
      <c r="A32" s="37">
        <v>524</v>
      </c>
      <c r="B32" s="38" t="s">
        <v>64</v>
      </c>
      <c r="C32" s="40" t="s">
        <v>65</v>
      </c>
      <c r="D32" s="40" t="s">
        <v>62</v>
      </c>
      <c r="E32" s="41" t="s">
        <v>34</v>
      </c>
      <c r="F32" s="69">
        <f>9+44</f>
        <v>53</v>
      </c>
      <c r="G32" s="295">
        <v>896.7</v>
      </c>
      <c r="H32" s="155" t="s">
        <v>63</v>
      </c>
      <c r="I32" s="100"/>
      <c r="L32" s="74"/>
    </row>
    <row r="33" spans="1:12" ht="30" customHeight="1">
      <c r="A33" s="37">
        <v>525</v>
      </c>
      <c r="B33" s="38" t="s">
        <v>71</v>
      </c>
      <c r="C33" s="40" t="s">
        <v>72</v>
      </c>
      <c r="D33" s="40" t="s">
        <v>62</v>
      </c>
      <c r="E33" s="41" t="s">
        <v>34</v>
      </c>
      <c r="F33" s="69">
        <v>3</v>
      </c>
      <c r="G33" s="295">
        <v>45.9</v>
      </c>
      <c r="H33" s="155" t="s">
        <v>63</v>
      </c>
      <c r="I33" s="100"/>
      <c r="L33" s="74"/>
    </row>
    <row r="34" spans="1:12" ht="30" customHeight="1">
      <c r="A34" s="37">
        <v>526</v>
      </c>
      <c r="B34" s="38" t="s">
        <v>75</v>
      </c>
      <c r="C34" s="71" t="s">
        <v>76</v>
      </c>
      <c r="D34" s="40" t="s">
        <v>62</v>
      </c>
      <c r="E34" s="41" t="s">
        <v>77</v>
      </c>
      <c r="F34" s="69">
        <v>5</v>
      </c>
      <c r="G34" s="295">
        <v>381</v>
      </c>
      <c r="H34" s="155" t="s">
        <v>63</v>
      </c>
      <c r="I34" s="100"/>
      <c r="L34" s="74"/>
    </row>
    <row r="35" spans="1:12" ht="30" customHeight="1">
      <c r="A35" s="37">
        <v>527</v>
      </c>
      <c r="B35" s="38" t="s">
        <v>78</v>
      </c>
      <c r="C35" s="40" t="s">
        <v>79</v>
      </c>
      <c r="D35" s="40" t="s">
        <v>62</v>
      </c>
      <c r="E35" s="41" t="s">
        <v>34</v>
      </c>
      <c r="F35" s="69">
        <v>2.2</v>
      </c>
      <c r="G35" s="295">
        <v>677.26</v>
      </c>
      <c r="H35" s="155" t="s">
        <v>63</v>
      </c>
      <c r="I35" s="100"/>
      <c r="L35" s="74"/>
    </row>
    <row r="36" spans="1:12" ht="45" customHeight="1">
      <c r="A36" s="37">
        <v>528</v>
      </c>
      <c r="B36" s="38" t="s">
        <v>84</v>
      </c>
      <c r="C36" s="40" t="s">
        <v>85</v>
      </c>
      <c r="D36" s="40" t="s">
        <v>62</v>
      </c>
      <c r="E36" s="41" t="s">
        <v>34</v>
      </c>
      <c r="F36" s="69">
        <f>0.65+3.9</f>
        <v>4.55</v>
      </c>
      <c r="G36" s="295">
        <v>536.84</v>
      </c>
      <c r="H36" s="155" t="s">
        <v>63</v>
      </c>
      <c r="I36" s="100"/>
      <c r="L36" s="74"/>
    </row>
    <row r="37" spans="1:12" ht="30" customHeight="1">
      <c r="A37" s="37">
        <v>529</v>
      </c>
      <c r="B37" s="344" t="s">
        <v>86</v>
      </c>
      <c r="C37" s="345" t="s">
        <v>87</v>
      </c>
      <c r="D37" s="40" t="s">
        <v>62</v>
      </c>
      <c r="E37" s="41" t="s">
        <v>34</v>
      </c>
      <c r="F37" s="69">
        <v>13</v>
      </c>
      <c r="G37" s="295">
        <v>1620.84</v>
      </c>
      <c r="H37" s="155" t="s">
        <v>63</v>
      </c>
      <c r="I37" s="100"/>
      <c r="L37" s="74"/>
    </row>
    <row r="38" spans="1:12" ht="30" customHeight="1">
      <c r="A38" s="37">
        <v>530</v>
      </c>
      <c r="B38" s="38" t="s">
        <v>88</v>
      </c>
      <c r="C38" s="40" t="s">
        <v>85</v>
      </c>
      <c r="D38" s="40" t="s">
        <v>62</v>
      </c>
      <c r="E38" s="41" t="s">
        <v>34</v>
      </c>
      <c r="F38" s="69">
        <v>5</v>
      </c>
      <c r="G38" s="295">
        <v>621.7</v>
      </c>
      <c r="H38" s="155" t="s">
        <v>63</v>
      </c>
      <c r="I38" s="100"/>
      <c r="L38" s="74"/>
    </row>
    <row r="39" spans="1:12" ht="30" customHeight="1">
      <c r="A39" s="37">
        <v>531</v>
      </c>
      <c r="B39" s="38" t="s">
        <v>89</v>
      </c>
      <c r="C39" s="40" t="s">
        <v>90</v>
      </c>
      <c r="D39" s="40" t="s">
        <v>62</v>
      </c>
      <c r="E39" s="41" t="s">
        <v>34</v>
      </c>
      <c r="F39" s="69">
        <v>4</v>
      </c>
      <c r="G39" s="295">
        <v>198.2</v>
      </c>
      <c r="H39" s="155" t="s">
        <v>63</v>
      </c>
      <c r="I39" s="100"/>
      <c r="L39" s="74"/>
    </row>
    <row r="40" spans="1:12" ht="30" customHeight="1">
      <c r="A40" s="37">
        <v>532</v>
      </c>
      <c r="B40" s="38" t="s">
        <v>91</v>
      </c>
      <c r="C40" s="40" t="s">
        <v>92</v>
      </c>
      <c r="D40" s="40" t="s">
        <v>62</v>
      </c>
      <c r="E40" s="41" t="s">
        <v>34</v>
      </c>
      <c r="F40" s="69">
        <v>11</v>
      </c>
      <c r="G40" s="295">
        <v>1755.45</v>
      </c>
      <c r="H40" s="155" t="s">
        <v>63</v>
      </c>
      <c r="I40" s="100"/>
      <c r="L40" s="74"/>
    </row>
    <row r="41" spans="1:12" ht="30" customHeight="1">
      <c r="A41" s="37">
        <v>533</v>
      </c>
      <c r="B41" s="38" t="s">
        <v>93</v>
      </c>
      <c r="C41" s="40" t="s">
        <v>94</v>
      </c>
      <c r="D41" s="40" t="s">
        <v>62</v>
      </c>
      <c r="E41" s="41" t="s">
        <v>34</v>
      </c>
      <c r="F41" s="69">
        <f>0.38+1.9</f>
        <v>2.28</v>
      </c>
      <c r="G41" s="295">
        <v>295.98</v>
      </c>
      <c r="H41" s="155" t="s">
        <v>63</v>
      </c>
      <c r="I41" s="100"/>
      <c r="L41" s="74"/>
    </row>
    <row r="42" spans="1:12" ht="30" customHeight="1">
      <c r="A42" s="37">
        <v>534</v>
      </c>
      <c r="B42" s="38" t="s">
        <v>224</v>
      </c>
      <c r="C42" s="40" t="s">
        <v>225</v>
      </c>
      <c r="D42" s="40" t="s">
        <v>62</v>
      </c>
      <c r="E42" s="41" t="s">
        <v>34</v>
      </c>
      <c r="F42" s="69">
        <v>1</v>
      </c>
      <c r="G42" s="295">
        <v>12.7</v>
      </c>
      <c r="H42" s="155" t="s">
        <v>63</v>
      </c>
      <c r="I42" s="100"/>
      <c r="L42" s="74"/>
    </row>
    <row r="43" spans="1:12" ht="30" customHeight="1">
      <c r="A43" s="37">
        <v>535</v>
      </c>
      <c r="B43" s="40" t="s">
        <v>95</v>
      </c>
      <c r="C43" s="40" t="s">
        <v>96</v>
      </c>
      <c r="D43" s="40" t="s">
        <v>62</v>
      </c>
      <c r="E43" s="41" t="s">
        <v>34</v>
      </c>
      <c r="F43" s="69">
        <v>11</v>
      </c>
      <c r="G43" s="295">
        <v>2283.31</v>
      </c>
      <c r="H43" s="155" t="s">
        <v>63</v>
      </c>
      <c r="I43" s="100"/>
      <c r="L43" s="74"/>
    </row>
    <row r="44" spans="1:12" ht="30" customHeight="1">
      <c r="A44" s="37">
        <v>536</v>
      </c>
      <c r="B44" s="40" t="s">
        <v>97</v>
      </c>
      <c r="C44" s="345" t="s">
        <v>87</v>
      </c>
      <c r="D44" s="40" t="s">
        <v>62</v>
      </c>
      <c r="E44" s="41" t="s">
        <v>34</v>
      </c>
      <c r="F44" s="69">
        <v>15</v>
      </c>
      <c r="G44" s="295">
        <v>3379.5</v>
      </c>
      <c r="H44" s="155" t="s">
        <v>63</v>
      </c>
      <c r="I44" s="100"/>
      <c r="L44" s="74"/>
    </row>
    <row r="45" spans="1:12" ht="45" customHeight="1">
      <c r="A45" s="37">
        <v>537</v>
      </c>
      <c r="B45" s="54" t="s">
        <v>98</v>
      </c>
      <c r="C45" s="40" t="s">
        <v>61</v>
      </c>
      <c r="D45" s="40" t="s">
        <v>62</v>
      </c>
      <c r="E45" s="41" t="s">
        <v>25</v>
      </c>
      <c r="F45" s="69">
        <v>41</v>
      </c>
      <c r="G45" s="295">
        <v>617.25</v>
      </c>
      <c r="H45" s="155" t="s">
        <v>63</v>
      </c>
      <c r="I45" s="100"/>
      <c r="L45" s="74"/>
    </row>
    <row r="46" spans="1:12" ht="30" customHeight="1">
      <c r="A46" s="37">
        <v>538</v>
      </c>
      <c r="B46" s="40" t="s">
        <v>99</v>
      </c>
      <c r="C46" s="40" t="s">
        <v>100</v>
      </c>
      <c r="D46" s="40" t="s">
        <v>62</v>
      </c>
      <c r="E46" s="41" t="s">
        <v>34</v>
      </c>
      <c r="F46" s="69">
        <v>6</v>
      </c>
      <c r="G46" s="295">
        <v>1710.52</v>
      </c>
      <c r="H46" s="155" t="s">
        <v>63</v>
      </c>
      <c r="I46" s="100"/>
      <c r="L46" s="74"/>
    </row>
    <row r="47" spans="1:12" ht="30" customHeight="1">
      <c r="A47" s="37">
        <v>539</v>
      </c>
      <c r="B47" s="40" t="s">
        <v>228</v>
      </c>
      <c r="C47" s="40" t="s">
        <v>229</v>
      </c>
      <c r="D47" s="40" t="s">
        <v>62</v>
      </c>
      <c r="E47" s="41" t="s">
        <v>34</v>
      </c>
      <c r="F47" s="69">
        <v>10</v>
      </c>
      <c r="G47" s="295">
        <v>401.45</v>
      </c>
      <c r="H47" s="155" t="s">
        <v>63</v>
      </c>
      <c r="I47" s="100"/>
      <c r="L47" s="74"/>
    </row>
    <row r="48" spans="1:12" ht="30" customHeight="1">
      <c r="A48" s="37">
        <v>540</v>
      </c>
      <c r="B48" s="40" t="s">
        <v>103</v>
      </c>
      <c r="C48" s="40" t="s">
        <v>104</v>
      </c>
      <c r="D48" s="40" t="s">
        <v>62</v>
      </c>
      <c r="E48" s="41" t="s">
        <v>25</v>
      </c>
      <c r="F48" s="69">
        <v>145</v>
      </c>
      <c r="G48" s="295">
        <v>672.8</v>
      </c>
      <c r="H48" s="155" t="s">
        <v>63</v>
      </c>
      <c r="I48" s="100"/>
      <c r="L48" s="74"/>
    </row>
    <row r="49" spans="1:12" ht="30" customHeight="1">
      <c r="A49" s="37">
        <v>541</v>
      </c>
      <c r="B49" s="38" t="s">
        <v>105</v>
      </c>
      <c r="C49" s="40" t="s">
        <v>70</v>
      </c>
      <c r="D49" s="40" t="s">
        <v>62</v>
      </c>
      <c r="E49" s="41" t="s">
        <v>34</v>
      </c>
      <c r="F49" s="69">
        <v>4</v>
      </c>
      <c r="G49" s="295">
        <v>132.6</v>
      </c>
      <c r="H49" s="155" t="s">
        <v>63</v>
      </c>
      <c r="I49" s="100"/>
      <c r="L49" s="74"/>
    </row>
    <row r="50" spans="1:12" s="10" customFormat="1" ht="30" customHeight="1">
      <c r="A50" s="296"/>
      <c r="B50" s="308" t="s">
        <v>106</v>
      </c>
      <c r="C50" s="328"/>
      <c r="D50" s="260"/>
      <c r="E50" s="263"/>
      <c r="F50" s="263"/>
      <c r="G50" s="297">
        <f>SUM(G32:G49)</f>
        <v>16240</v>
      </c>
      <c r="H50" s="265"/>
      <c r="I50" s="100"/>
      <c r="L50" s="267"/>
    </row>
    <row r="51" spans="1:12" ht="45" customHeight="1">
      <c r="A51" s="37">
        <v>542</v>
      </c>
      <c r="B51" s="38" t="s">
        <v>236</v>
      </c>
      <c r="C51" s="40" t="s">
        <v>119</v>
      </c>
      <c r="D51" s="40" t="s">
        <v>109</v>
      </c>
      <c r="E51" s="41" t="s">
        <v>120</v>
      </c>
      <c r="F51" s="41" t="s">
        <v>121</v>
      </c>
      <c r="G51" s="311">
        <v>2626.76</v>
      </c>
      <c r="H51" s="155" t="s">
        <v>63</v>
      </c>
      <c r="I51" s="100"/>
      <c r="K51" s="12">
        <v>861.81</v>
      </c>
      <c r="L51" s="74">
        <f aca="true" t="shared" si="0" ref="L51:L56">G51-K51</f>
        <v>1764.9500000000003</v>
      </c>
    </row>
    <row r="52" spans="1:12" ht="30" customHeight="1">
      <c r="A52" s="37">
        <v>543</v>
      </c>
      <c r="B52" s="38" t="s">
        <v>401</v>
      </c>
      <c r="C52" s="40" t="s">
        <v>239</v>
      </c>
      <c r="D52" s="40" t="s">
        <v>109</v>
      </c>
      <c r="E52" s="41" t="s">
        <v>285</v>
      </c>
      <c r="F52" s="41">
        <v>150</v>
      </c>
      <c r="G52" s="311">
        <v>444</v>
      </c>
      <c r="H52" s="155" t="s">
        <v>63</v>
      </c>
      <c r="I52" s="100"/>
      <c r="L52" s="74">
        <f t="shared" si="0"/>
        <v>444</v>
      </c>
    </row>
    <row r="53" spans="1:12" ht="30" customHeight="1">
      <c r="A53" s="37">
        <v>544</v>
      </c>
      <c r="B53" s="38" t="s">
        <v>284</v>
      </c>
      <c r="C53" s="40" t="s">
        <v>239</v>
      </c>
      <c r="D53" s="40" t="s">
        <v>109</v>
      </c>
      <c r="E53" s="41" t="s">
        <v>285</v>
      </c>
      <c r="F53" s="41">
        <v>1006.72</v>
      </c>
      <c r="G53" s="311">
        <v>2597.34</v>
      </c>
      <c r="H53" s="155" t="s">
        <v>63</v>
      </c>
      <c r="I53" s="100"/>
      <c r="L53" s="74">
        <f t="shared" si="0"/>
        <v>2597.34</v>
      </c>
    </row>
    <row r="54" spans="1:12" ht="30" customHeight="1">
      <c r="A54" s="37">
        <v>545</v>
      </c>
      <c r="B54" s="38" t="s">
        <v>130</v>
      </c>
      <c r="C54" s="40" t="s">
        <v>131</v>
      </c>
      <c r="D54" s="40" t="s">
        <v>109</v>
      </c>
      <c r="E54" s="41" t="s">
        <v>25</v>
      </c>
      <c r="F54" s="41">
        <v>1</v>
      </c>
      <c r="G54" s="311">
        <v>280</v>
      </c>
      <c r="H54" s="155" t="s">
        <v>19</v>
      </c>
      <c r="I54" s="100"/>
      <c r="L54" s="74">
        <f t="shared" si="0"/>
        <v>280</v>
      </c>
    </row>
    <row r="55" spans="1:12" ht="30" customHeight="1">
      <c r="A55" s="37">
        <v>546</v>
      </c>
      <c r="B55" s="38" t="s">
        <v>130</v>
      </c>
      <c r="C55" s="40" t="s">
        <v>131</v>
      </c>
      <c r="D55" s="40" t="s">
        <v>109</v>
      </c>
      <c r="E55" s="41" t="s">
        <v>25</v>
      </c>
      <c r="F55" s="41">
        <v>3</v>
      </c>
      <c r="G55" s="311">
        <v>840</v>
      </c>
      <c r="H55" s="155" t="s">
        <v>132</v>
      </c>
      <c r="I55" s="100"/>
      <c r="L55" s="74">
        <f t="shared" si="0"/>
        <v>840</v>
      </c>
    </row>
    <row r="56" spans="1:12" ht="30" customHeight="1">
      <c r="A56" s="37">
        <v>547</v>
      </c>
      <c r="B56" s="98" t="s">
        <v>111</v>
      </c>
      <c r="C56" s="99" t="s">
        <v>112</v>
      </c>
      <c r="D56" s="99" t="s">
        <v>109</v>
      </c>
      <c r="E56" s="162" t="s">
        <v>113</v>
      </c>
      <c r="F56" s="41" t="s">
        <v>402</v>
      </c>
      <c r="G56" s="311">
        <v>360</v>
      </c>
      <c r="H56" s="155" t="s">
        <v>63</v>
      </c>
      <c r="I56" s="100"/>
      <c r="L56" s="74">
        <f t="shared" si="0"/>
        <v>360</v>
      </c>
    </row>
    <row r="57" spans="1:12" ht="45" customHeight="1">
      <c r="A57" s="37">
        <v>548</v>
      </c>
      <c r="B57" s="38" t="s">
        <v>128</v>
      </c>
      <c r="C57" s="88" t="s">
        <v>129</v>
      </c>
      <c r="D57" s="40" t="s">
        <v>109</v>
      </c>
      <c r="E57" s="41" t="s">
        <v>25</v>
      </c>
      <c r="F57" s="41">
        <v>1</v>
      </c>
      <c r="G57" s="311">
        <v>75529</v>
      </c>
      <c r="H57" s="155" t="s">
        <v>63</v>
      </c>
      <c r="I57" s="100"/>
      <c r="L57" s="74"/>
    </row>
    <row r="58" spans="1:12" ht="45" customHeight="1">
      <c r="A58" s="37">
        <v>549</v>
      </c>
      <c r="B58" s="38" t="s">
        <v>403</v>
      </c>
      <c r="C58" s="88" t="s">
        <v>242</v>
      </c>
      <c r="D58" s="40" t="s">
        <v>109</v>
      </c>
      <c r="E58" s="41" t="s">
        <v>25</v>
      </c>
      <c r="F58" s="41">
        <v>2</v>
      </c>
      <c r="G58" s="311">
        <v>325</v>
      </c>
      <c r="H58" s="155" t="s">
        <v>19</v>
      </c>
      <c r="I58" s="100"/>
      <c r="L58" s="74"/>
    </row>
    <row r="59" spans="1:12" ht="45" customHeight="1">
      <c r="A59" s="37">
        <v>550</v>
      </c>
      <c r="B59" s="38" t="s">
        <v>404</v>
      </c>
      <c r="C59" s="88" t="s">
        <v>242</v>
      </c>
      <c r="D59" s="40" t="s">
        <v>109</v>
      </c>
      <c r="E59" s="41" t="s">
        <v>25</v>
      </c>
      <c r="F59" s="41">
        <v>2</v>
      </c>
      <c r="G59" s="311">
        <v>366.9</v>
      </c>
      <c r="H59" s="155" t="s">
        <v>19</v>
      </c>
      <c r="I59" s="100"/>
      <c r="L59" s="74"/>
    </row>
    <row r="60" spans="1:12" s="10" customFormat="1" ht="30" customHeight="1">
      <c r="A60" s="296"/>
      <c r="B60" s="260" t="s">
        <v>136</v>
      </c>
      <c r="C60" s="261"/>
      <c r="D60" s="262"/>
      <c r="E60" s="263"/>
      <c r="F60" s="263"/>
      <c r="G60" s="297">
        <f>SUM(G51:G59)</f>
        <v>83369</v>
      </c>
      <c r="H60" s="265"/>
      <c r="I60" s="100"/>
      <c r="K60" s="267"/>
      <c r="L60" s="267" t="e">
        <f>SUM(#REF!)</f>
        <v>#REF!</v>
      </c>
    </row>
    <row r="61" spans="1:11" ht="30" customHeight="1">
      <c r="A61" s="37">
        <v>551</v>
      </c>
      <c r="B61" s="38" t="s">
        <v>137</v>
      </c>
      <c r="C61" s="40" t="s">
        <v>138</v>
      </c>
      <c r="D61" s="40" t="s">
        <v>139</v>
      </c>
      <c r="E61" s="41" t="s">
        <v>140</v>
      </c>
      <c r="F61" s="53">
        <f>G61/67.76</f>
        <v>3212.514757969303</v>
      </c>
      <c r="G61" s="295">
        <v>217680</v>
      </c>
      <c r="H61" s="40" t="s">
        <v>63</v>
      </c>
      <c r="I61" s="100"/>
      <c r="K61" s="12">
        <v>89955</v>
      </c>
    </row>
    <row r="62" spans="1:9" s="10" customFormat="1" ht="30" customHeight="1">
      <c r="A62" s="296"/>
      <c r="B62" s="260" t="s">
        <v>141</v>
      </c>
      <c r="C62" s="261"/>
      <c r="D62" s="262"/>
      <c r="E62" s="263"/>
      <c r="F62" s="263"/>
      <c r="G62" s="297">
        <f>SUM(G61:G61)</f>
        <v>217680</v>
      </c>
      <c r="H62" s="265"/>
      <c r="I62" s="100"/>
    </row>
    <row r="63" spans="1:9" ht="30" customHeight="1">
      <c r="A63" s="37">
        <v>552</v>
      </c>
      <c r="B63" s="38" t="s">
        <v>142</v>
      </c>
      <c r="C63" s="54" t="s">
        <v>143</v>
      </c>
      <c r="D63" s="40" t="s">
        <v>144</v>
      </c>
      <c r="E63" s="41" t="s">
        <v>145</v>
      </c>
      <c r="F63" s="56">
        <f>G63/4.14243</f>
        <v>839.3624032270914</v>
      </c>
      <c r="G63" s="295">
        <v>3477</v>
      </c>
      <c r="H63" s="40" t="s">
        <v>63</v>
      </c>
      <c r="I63" s="100"/>
    </row>
    <row r="64" spans="1:9" s="10" customFormat="1" ht="30" customHeight="1">
      <c r="A64" s="296"/>
      <c r="B64" s="260" t="s">
        <v>146</v>
      </c>
      <c r="C64" s="261"/>
      <c r="D64" s="262"/>
      <c r="E64" s="262"/>
      <c r="F64" s="262"/>
      <c r="G64" s="297">
        <f>G63</f>
        <v>3477</v>
      </c>
      <c r="H64" s="265"/>
      <c r="I64" s="100"/>
    </row>
    <row r="65" spans="1:9" ht="45" customHeight="1">
      <c r="A65" s="37">
        <v>553</v>
      </c>
      <c r="B65" s="38" t="s">
        <v>405</v>
      </c>
      <c r="C65" s="54" t="s">
        <v>406</v>
      </c>
      <c r="D65" s="40" t="s">
        <v>149</v>
      </c>
      <c r="E65" s="41" t="s">
        <v>25</v>
      </c>
      <c r="F65" s="56">
        <v>1</v>
      </c>
      <c r="G65" s="295">
        <v>88950</v>
      </c>
      <c r="H65" s="40" t="s">
        <v>63</v>
      </c>
      <c r="I65" s="100"/>
    </row>
    <row r="66" spans="1:9" s="10" customFormat="1" ht="30" customHeight="1">
      <c r="A66" s="296"/>
      <c r="B66" s="260" t="s">
        <v>150</v>
      </c>
      <c r="C66" s="261"/>
      <c r="D66" s="262"/>
      <c r="E66" s="262"/>
      <c r="F66" s="262"/>
      <c r="G66" s="297">
        <f>G65</f>
        <v>88950</v>
      </c>
      <c r="H66" s="265"/>
      <c r="I66" s="100"/>
    </row>
    <row r="67" spans="1:9" ht="22.5" customHeight="1">
      <c r="A67" s="19"/>
      <c r="B67" s="208" t="s">
        <v>151</v>
      </c>
      <c r="C67" s="167"/>
      <c r="D67" s="168"/>
      <c r="E67" s="207"/>
      <c r="F67" s="170"/>
      <c r="G67" s="304"/>
      <c r="H67" s="171"/>
      <c r="I67" s="223"/>
    </row>
    <row r="68" spans="1:9" ht="22.5" customHeight="1">
      <c r="A68" s="19"/>
      <c r="B68" s="106" t="s">
        <v>152</v>
      </c>
      <c r="C68" s="107"/>
      <c r="D68" s="108" t="s">
        <v>153</v>
      </c>
      <c r="E68" s="109"/>
      <c r="F68" s="109"/>
      <c r="G68" s="304"/>
      <c r="H68" s="171"/>
      <c r="I68" s="223"/>
    </row>
    <row r="69" spans="1:9" s="8" customFormat="1" ht="22.5" customHeight="1">
      <c r="A69" s="19"/>
      <c r="B69" s="111"/>
      <c r="C69" s="9"/>
      <c r="D69" s="112" t="s">
        <v>154</v>
      </c>
      <c r="E69" s="113" t="s">
        <v>155</v>
      </c>
      <c r="F69" s="114"/>
      <c r="G69" s="304"/>
      <c r="H69" s="171"/>
      <c r="I69" s="223"/>
    </row>
    <row r="70" spans="1:9" s="8" customFormat="1" ht="22.5" customHeight="1">
      <c r="A70" s="19"/>
      <c r="B70" s="115" t="s">
        <v>156</v>
      </c>
      <c r="C70" s="116"/>
      <c r="D70" s="108" t="s">
        <v>157</v>
      </c>
      <c r="E70" s="109"/>
      <c r="F70" s="109"/>
      <c r="G70" s="304"/>
      <c r="H70" s="171"/>
      <c r="I70" s="223"/>
    </row>
    <row r="71" spans="1:9" ht="22.5" customHeight="1">
      <c r="A71" s="19"/>
      <c r="B71" s="111"/>
      <c r="C71" s="9"/>
      <c r="D71" s="112" t="s">
        <v>154</v>
      </c>
      <c r="E71" s="113"/>
      <c r="F71" s="114"/>
      <c r="G71" s="304"/>
      <c r="H71" s="8"/>
      <c r="I71" s="141"/>
    </row>
    <row r="72" spans="1:9" s="8" customFormat="1" ht="22.5" customHeight="1">
      <c r="A72" s="19"/>
      <c r="B72" s="115" t="s">
        <v>158</v>
      </c>
      <c r="C72" s="9"/>
      <c r="D72" s="9"/>
      <c r="E72" s="9"/>
      <c r="F72" s="9"/>
      <c r="G72" s="304"/>
      <c r="H72" s="171"/>
      <c r="I72" s="223"/>
    </row>
    <row r="73" spans="1:9" s="2" customFormat="1" ht="30" customHeight="1">
      <c r="A73" s="169"/>
      <c r="B73" s="229" t="s">
        <v>159</v>
      </c>
      <c r="C73" s="167"/>
      <c r="D73" s="291" t="s">
        <v>160</v>
      </c>
      <c r="E73" s="229"/>
      <c r="F73" s="170"/>
      <c r="G73" s="307"/>
      <c r="H73" s="171"/>
      <c r="I73" s="326"/>
    </row>
    <row r="74" spans="1:9" ht="22.5" customHeight="1">
      <c r="A74" s="19"/>
      <c r="B74" s="230" t="s">
        <v>161</v>
      </c>
      <c r="C74" s="167"/>
      <c r="D74" s="168"/>
      <c r="E74" s="207"/>
      <c r="F74" s="170"/>
      <c r="G74" s="304"/>
      <c r="H74" s="171"/>
      <c r="I74" s="223"/>
    </row>
    <row r="75" spans="2:11" ht="15">
      <c r="B75" s="2"/>
      <c r="C75" s="2"/>
      <c r="D75" s="8"/>
      <c r="E75" s="338"/>
      <c r="F75" s="338"/>
      <c r="G75" s="339"/>
      <c r="H75" s="338"/>
      <c r="I75" s="141"/>
      <c r="J75" s="338"/>
      <c r="K75" s="8"/>
    </row>
    <row r="76" spans="4:11" ht="15">
      <c r="D76" s="3"/>
      <c r="E76" s="3"/>
      <c r="F76" s="19"/>
      <c r="G76" s="19"/>
      <c r="H76" s="8"/>
      <c r="I76" s="141"/>
      <c r="J76" s="8"/>
      <c r="K76" s="8"/>
    </row>
    <row r="78" spans="2:3" ht="15">
      <c r="B78" s="5"/>
      <c r="C78" s="5"/>
    </row>
    <row r="79" spans="2:4" ht="15">
      <c r="B79" s="3"/>
      <c r="C79" s="3"/>
      <c r="D79" s="3"/>
    </row>
  </sheetData>
  <sheetProtection/>
  <mergeCells count="19">
    <mergeCell ref="F1:G1"/>
    <mergeCell ref="A2:I2"/>
    <mergeCell ref="B31:C31"/>
    <mergeCell ref="B50:C50"/>
    <mergeCell ref="B60:C60"/>
    <mergeCell ref="B62:C62"/>
    <mergeCell ref="B64:C64"/>
    <mergeCell ref="B66:C66"/>
    <mergeCell ref="B79:C79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66"/>
  </mergeCells>
  <hyperlinks>
    <hyperlink ref="C13" r:id="rId1" display="20.41.3; ДК 016:2010"/>
    <hyperlink ref="C30" r:id="rId2" display="73.11.1; ДК 016:2010"/>
    <hyperlink ref="C16" r:id="rId3" display="25.71.1; ДК 016:2010"/>
    <hyperlink ref="C29" r:id="rId4" display="31.00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63"/>
  <sheetViews>
    <sheetView view="pageBreakPreview" zoomScale="90" zoomScaleNormal="90" zoomScaleSheetLayoutView="90" workbookViewId="0" topLeftCell="A1">
      <selection activeCell="B15" sqref="B15:C35"/>
    </sheetView>
  </sheetViews>
  <sheetFormatPr defaultColWidth="9.140625" defaultRowHeight="15"/>
  <cols>
    <col min="1" max="1" width="6.28125" style="3" customWidth="1"/>
    <col min="2" max="2" width="51.421875" style="12" customWidth="1"/>
    <col min="3" max="3" width="18.7109375" style="12" customWidth="1"/>
    <col min="4" max="4" width="30.421875" style="12" customWidth="1"/>
    <col min="5" max="5" width="9.421875" style="12" customWidth="1"/>
    <col min="6" max="6" width="17.140625" style="12" customWidth="1"/>
    <col min="7" max="7" width="13.140625" style="12" customWidth="1"/>
    <col min="8" max="8" width="15.421875" style="12" customWidth="1"/>
    <col min="9" max="9" width="8.8515625" style="12" customWidth="1"/>
    <col min="10" max="10" width="9.28125" style="12" hidden="1" customWidth="1"/>
    <col min="11" max="11" width="11.8515625" style="12" customWidth="1"/>
    <col min="12" max="12" width="12.7109375" style="12" bestFit="1" customWidth="1"/>
    <col min="13" max="13" width="10.140625" style="12" bestFit="1" customWidth="1"/>
    <col min="14" max="14" width="10.7109375" style="12" bestFit="1" customWidth="1"/>
    <col min="15" max="15" width="9.28125" style="12" bestFit="1" customWidth="1"/>
    <col min="16" max="16384" width="9.140625" style="12" customWidth="1"/>
  </cols>
  <sheetData>
    <row r="1" spans="1:9" ht="67.5" customHeight="1">
      <c r="A1" s="19"/>
      <c r="B1" s="8" t="s">
        <v>0</v>
      </c>
      <c r="C1" s="20"/>
      <c r="D1" s="21"/>
      <c r="E1" s="22"/>
      <c r="F1" s="23" t="s">
        <v>1</v>
      </c>
      <c r="G1" s="23"/>
      <c r="H1" s="21"/>
      <c r="I1" s="70"/>
    </row>
    <row r="2" spans="1:9" ht="45.75" customHeight="1">
      <c r="A2" s="317" t="s">
        <v>407</v>
      </c>
      <c r="B2" s="317"/>
      <c r="C2" s="317"/>
      <c r="D2" s="317"/>
      <c r="E2" s="317"/>
      <c r="F2" s="317"/>
      <c r="G2" s="317"/>
      <c r="H2" s="317"/>
      <c r="I2" s="317"/>
    </row>
    <row r="3" spans="3:9" ht="15" customHeight="1">
      <c r="C3" s="124"/>
      <c r="D3" s="125" t="s">
        <v>4</v>
      </c>
      <c r="E3" s="124"/>
      <c r="F3" s="124"/>
      <c r="G3" s="3"/>
      <c r="H3" s="16"/>
      <c r="I3" s="16"/>
    </row>
    <row r="4" spans="5:6" ht="15" customHeight="1">
      <c r="E4" s="3"/>
      <c r="F4" s="3"/>
    </row>
    <row r="5" spans="1:11" ht="15.75" customHeight="1">
      <c r="A5" s="26" t="s">
        <v>5</v>
      </c>
      <c r="B5" s="27" t="s">
        <v>6</v>
      </c>
      <c r="C5" s="28" t="s">
        <v>7</v>
      </c>
      <c r="D5" s="28" t="s">
        <v>249</v>
      </c>
      <c r="E5" s="28" t="s">
        <v>9</v>
      </c>
      <c r="F5" s="28" t="s">
        <v>10</v>
      </c>
      <c r="G5" s="28" t="s">
        <v>250</v>
      </c>
      <c r="H5" s="28" t="s">
        <v>251</v>
      </c>
      <c r="I5" s="28" t="s">
        <v>13</v>
      </c>
      <c r="J5" s="71"/>
      <c r="K5" s="71"/>
    </row>
    <row r="6" spans="1:9" ht="22.5" customHeight="1">
      <c r="A6" s="29"/>
      <c r="B6" s="30"/>
      <c r="C6" s="31"/>
      <c r="D6" s="31"/>
      <c r="E6" s="31"/>
      <c r="F6" s="31"/>
      <c r="G6" s="31"/>
      <c r="H6" s="31"/>
      <c r="I6" s="31"/>
    </row>
    <row r="7" spans="1:9" ht="37.5" customHeight="1">
      <c r="A7" s="32"/>
      <c r="B7" s="33"/>
      <c r="C7" s="34"/>
      <c r="D7" s="34"/>
      <c r="E7" s="34"/>
      <c r="F7" s="34"/>
      <c r="G7" s="34"/>
      <c r="H7" s="34"/>
      <c r="I7" s="34"/>
    </row>
    <row r="8" spans="1:14" ht="20.25" customHeight="1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72">
        <v>9</v>
      </c>
      <c r="N8" s="12" t="s">
        <v>14</v>
      </c>
    </row>
    <row r="9" spans="1:15" s="6" customFormat="1" ht="30" customHeight="1">
      <c r="A9" s="37">
        <v>461</v>
      </c>
      <c r="B9" s="160" t="s">
        <v>15</v>
      </c>
      <c r="C9" s="39" t="s">
        <v>16</v>
      </c>
      <c r="D9" s="133" t="s">
        <v>17</v>
      </c>
      <c r="E9" s="41" t="s">
        <v>18</v>
      </c>
      <c r="F9" s="41">
        <v>10</v>
      </c>
      <c r="G9" s="42">
        <v>2100</v>
      </c>
      <c r="H9" s="155" t="s">
        <v>19</v>
      </c>
      <c r="I9" s="73" t="s">
        <v>253</v>
      </c>
      <c r="L9" s="166">
        <f>G9-K9</f>
        <v>2100</v>
      </c>
      <c r="N9" s="6">
        <v>3</v>
      </c>
      <c r="O9" s="6">
        <v>780</v>
      </c>
    </row>
    <row r="10" spans="1:12" s="6" customFormat="1" ht="30" customHeight="1">
      <c r="A10" s="37">
        <v>462</v>
      </c>
      <c r="B10" s="160" t="s">
        <v>23</v>
      </c>
      <c r="C10" s="133" t="s">
        <v>24</v>
      </c>
      <c r="D10" s="133" t="s">
        <v>17</v>
      </c>
      <c r="E10" s="41" t="s">
        <v>22</v>
      </c>
      <c r="F10" s="41">
        <v>1</v>
      </c>
      <c r="G10" s="42">
        <v>170</v>
      </c>
      <c r="H10" s="155" t="s">
        <v>19</v>
      </c>
      <c r="I10" s="100"/>
      <c r="L10" s="166"/>
    </row>
    <row r="11" spans="1:12" s="6" customFormat="1" ht="30" customHeight="1">
      <c r="A11" s="37">
        <v>463</v>
      </c>
      <c r="B11" s="160" t="s">
        <v>408</v>
      </c>
      <c r="C11" s="136" t="s">
        <v>409</v>
      </c>
      <c r="D11" s="133" t="s">
        <v>17</v>
      </c>
      <c r="E11" s="41" t="s">
        <v>25</v>
      </c>
      <c r="F11" s="41">
        <v>2</v>
      </c>
      <c r="G11" s="42">
        <v>172</v>
      </c>
      <c r="H11" s="155" t="s">
        <v>19</v>
      </c>
      <c r="I11" s="100"/>
      <c r="L11" s="166"/>
    </row>
    <row r="12" spans="1:12" s="6" customFormat="1" ht="30" customHeight="1">
      <c r="A12" s="37">
        <v>464</v>
      </c>
      <c r="B12" s="160" t="s">
        <v>410</v>
      </c>
      <c r="C12" s="43" t="s">
        <v>52</v>
      </c>
      <c r="D12" s="133" t="s">
        <v>17</v>
      </c>
      <c r="E12" s="41" t="s">
        <v>25</v>
      </c>
      <c r="F12" s="41">
        <v>11</v>
      </c>
      <c r="G12" s="42">
        <v>217.8</v>
      </c>
      <c r="H12" s="155" t="s">
        <v>19</v>
      </c>
      <c r="I12" s="100"/>
      <c r="L12" s="166"/>
    </row>
    <row r="13" spans="1:12" ht="30" customHeight="1">
      <c r="A13" s="37">
        <v>465</v>
      </c>
      <c r="B13" s="38" t="s">
        <v>57</v>
      </c>
      <c r="C13" s="40" t="s">
        <v>58</v>
      </c>
      <c r="D13" s="40" t="s">
        <v>17</v>
      </c>
      <c r="E13" s="41" t="s">
        <v>25</v>
      </c>
      <c r="F13" s="41">
        <v>1</v>
      </c>
      <c r="G13" s="295">
        <v>2500.2</v>
      </c>
      <c r="H13" s="155" t="s">
        <v>19</v>
      </c>
      <c r="I13" s="100"/>
      <c r="L13" s="74"/>
    </row>
    <row r="14" spans="1:11" s="10" customFormat="1" ht="29.25" customHeight="1">
      <c r="A14" s="296"/>
      <c r="B14" s="260" t="s">
        <v>59</v>
      </c>
      <c r="C14" s="261"/>
      <c r="D14" s="262"/>
      <c r="E14" s="263"/>
      <c r="F14" s="263"/>
      <c r="G14" s="297">
        <f>SUM(G9:G13)</f>
        <v>5160</v>
      </c>
      <c r="H14" s="265"/>
      <c r="I14" s="100"/>
      <c r="K14" s="10">
        <f>SUM(K9:K13)</f>
        <v>0</v>
      </c>
    </row>
    <row r="15" spans="1:9" ht="30" customHeight="1">
      <c r="A15" s="37">
        <v>466</v>
      </c>
      <c r="B15" s="38" t="s">
        <v>64</v>
      </c>
      <c r="C15" s="40" t="s">
        <v>65</v>
      </c>
      <c r="D15" s="40" t="s">
        <v>62</v>
      </c>
      <c r="E15" s="41" t="s">
        <v>34</v>
      </c>
      <c r="F15" s="69">
        <f>25+49</f>
        <v>74</v>
      </c>
      <c r="G15" s="295">
        <v>1260.7</v>
      </c>
      <c r="H15" s="133" t="s">
        <v>63</v>
      </c>
      <c r="I15" s="100"/>
    </row>
    <row r="16" spans="1:9" ht="30" customHeight="1">
      <c r="A16" s="37">
        <v>467</v>
      </c>
      <c r="B16" s="38" t="s">
        <v>71</v>
      </c>
      <c r="C16" s="71" t="s">
        <v>72</v>
      </c>
      <c r="D16" s="40" t="s">
        <v>62</v>
      </c>
      <c r="E16" s="41" t="s">
        <v>34</v>
      </c>
      <c r="F16" s="69">
        <v>3</v>
      </c>
      <c r="G16" s="295">
        <v>47.6</v>
      </c>
      <c r="H16" s="133" t="s">
        <v>63</v>
      </c>
      <c r="I16" s="100"/>
    </row>
    <row r="17" spans="1:9" ht="45" customHeight="1">
      <c r="A17" s="37">
        <v>468</v>
      </c>
      <c r="B17" s="38" t="s">
        <v>73</v>
      </c>
      <c r="C17" s="40" t="s">
        <v>74</v>
      </c>
      <c r="D17" s="40" t="s">
        <v>62</v>
      </c>
      <c r="E17" s="41" t="s">
        <v>34</v>
      </c>
      <c r="F17" s="69">
        <v>6</v>
      </c>
      <c r="G17" s="295">
        <v>140.8</v>
      </c>
      <c r="H17" s="133" t="s">
        <v>63</v>
      </c>
      <c r="I17" s="100"/>
    </row>
    <row r="18" spans="1:9" ht="30" customHeight="1">
      <c r="A18" s="37">
        <v>469</v>
      </c>
      <c r="B18" s="38" t="s">
        <v>78</v>
      </c>
      <c r="C18" s="40" t="s">
        <v>79</v>
      </c>
      <c r="D18" s="40" t="s">
        <v>62</v>
      </c>
      <c r="E18" s="41" t="s">
        <v>34</v>
      </c>
      <c r="F18" s="69">
        <v>2</v>
      </c>
      <c r="G18" s="295">
        <v>615.5</v>
      </c>
      <c r="H18" s="133" t="s">
        <v>63</v>
      </c>
      <c r="I18" s="100"/>
    </row>
    <row r="19" spans="1:9" ht="30" customHeight="1">
      <c r="A19" s="37">
        <v>470</v>
      </c>
      <c r="B19" s="38" t="s">
        <v>83</v>
      </c>
      <c r="C19" s="40" t="s">
        <v>72</v>
      </c>
      <c r="D19" s="40" t="s">
        <v>62</v>
      </c>
      <c r="E19" s="41" t="s">
        <v>34</v>
      </c>
      <c r="F19" s="69">
        <v>3</v>
      </c>
      <c r="G19" s="295">
        <v>77.9</v>
      </c>
      <c r="H19" s="133" t="s">
        <v>63</v>
      </c>
      <c r="I19" s="100"/>
    </row>
    <row r="20" spans="1:9" ht="45">
      <c r="A20" s="37">
        <v>471</v>
      </c>
      <c r="B20" s="38" t="s">
        <v>84</v>
      </c>
      <c r="C20" s="40" t="s">
        <v>85</v>
      </c>
      <c r="D20" s="40" t="s">
        <v>62</v>
      </c>
      <c r="E20" s="41" t="s">
        <v>34</v>
      </c>
      <c r="F20" s="69">
        <v>3.9</v>
      </c>
      <c r="G20" s="295">
        <v>455.13</v>
      </c>
      <c r="H20" s="133" t="s">
        <v>63</v>
      </c>
      <c r="I20" s="100"/>
    </row>
    <row r="21" spans="1:9" ht="30" customHeight="1">
      <c r="A21" s="37">
        <v>472</v>
      </c>
      <c r="B21" s="344" t="s">
        <v>86</v>
      </c>
      <c r="C21" s="345" t="s">
        <v>87</v>
      </c>
      <c r="D21" s="40" t="s">
        <v>62</v>
      </c>
      <c r="E21" s="41" t="s">
        <v>34</v>
      </c>
      <c r="F21" s="69">
        <v>9</v>
      </c>
      <c r="G21" s="295">
        <v>1230.36</v>
      </c>
      <c r="H21" s="133" t="s">
        <v>63</v>
      </c>
      <c r="I21" s="100"/>
    </row>
    <row r="22" spans="1:9" ht="30" customHeight="1">
      <c r="A22" s="37">
        <v>473</v>
      </c>
      <c r="B22" s="38" t="s">
        <v>88</v>
      </c>
      <c r="C22" s="40" t="s">
        <v>85</v>
      </c>
      <c r="D22" s="40" t="s">
        <v>62</v>
      </c>
      <c r="E22" s="41" t="s">
        <v>34</v>
      </c>
      <c r="F22" s="69">
        <v>4</v>
      </c>
      <c r="G22" s="295">
        <v>497.1</v>
      </c>
      <c r="H22" s="133" t="s">
        <v>63</v>
      </c>
      <c r="I22" s="100"/>
    </row>
    <row r="23" spans="1:9" ht="30" customHeight="1">
      <c r="A23" s="37">
        <v>474</v>
      </c>
      <c r="B23" s="38" t="s">
        <v>89</v>
      </c>
      <c r="C23" s="40" t="s">
        <v>90</v>
      </c>
      <c r="D23" s="40" t="s">
        <v>62</v>
      </c>
      <c r="E23" s="41" t="s">
        <v>34</v>
      </c>
      <c r="F23" s="69">
        <v>6</v>
      </c>
      <c r="G23" s="295">
        <v>297.4</v>
      </c>
      <c r="H23" s="133" t="s">
        <v>63</v>
      </c>
      <c r="I23" s="100"/>
    </row>
    <row r="24" spans="1:9" ht="30" customHeight="1">
      <c r="A24" s="37">
        <v>475</v>
      </c>
      <c r="B24" s="38" t="s">
        <v>91</v>
      </c>
      <c r="C24" s="40" t="s">
        <v>92</v>
      </c>
      <c r="D24" s="40" t="s">
        <v>62</v>
      </c>
      <c r="E24" s="41" t="s">
        <v>34</v>
      </c>
      <c r="F24" s="69">
        <v>8</v>
      </c>
      <c r="G24" s="295">
        <v>1337.3</v>
      </c>
      <c r="H24" s="133" t="s">
        <v>63</v>
      </c>
      <c r="I24" s="100"/>
    </row>
    <row r="25" spans="1:9" ht="30" customHeight="1">
      <c r="A25" s="37">
        <v>476</v>
      </c>
      <c r="B25" s="38" t="s">
        <v>274</v>
      </c>
      <c r="C25" s="40" t="s">
        <v>275</v>
      </c>
      <c r="D25" s="40" t="s">
        <v>62</v>
      </c>
      <c r="E25" s="41" t="s">
        <v>34</v>
      </c>
      <c r="F25" s="69">
        <v>4</v>
      </c>
      <c r="G25" s="295">
        <v>144</v>
      </c>
      <c r="H25" s="133" t="s">
        <v>63</v>
      </c>
      <c r="I25" s="100"/>
    </row>
    <row r="26" spans="1:9" ht="30" customHeight="1">
      <c r="A26" s="37">
        <v>477</v>
      </c>
      <c r="B26" s="38" t="s">
        <v>93</v>
      </c>
      <c r="C26" s="40" t="s">
        <v>94</v>
      </c>
      <c r="D26" s="40" t="s">
        <v>62</v>
      </c>
      <c r="E26" s="41" t="s">
        <v>34</v>
      </c>
      <c r="F26" s="69">
        <f>0.38+2.28</f>
        <v>2.6599999999999997</v>
      </c>
      <c r="G26" s="295">
        <v>345.38</v>
      </c>
      <c r="H26" s="133" t="s">
        <v>63</v>
      </c>
      <c r="I26" s="100"/>
    </row>
    <row r="27" spans="1:9" ht="30" customHeight="1">
      <c r="A27" s="37">
        <v>478</v>
      </c>
      <c r="B27" s="40" t="s">
        <v>95</v>
      </c>
      <c r="C27" s="40" t="s">
        <v>96</v>
      </c>
      <c r="D27" s="40" t="s">
        <v>62</v>
      </c>
      <c r="E27" s="41" t="s">
        <v>34</v>
      </c>
      <c r="F27" s="69">
        <v>15</v>
      </c>
      <c r="G27" s="295">
        <v>3045.5</v>
      </c>
      <c r="H27" s="133" t="s">
        <v>63</v>
      </c>
      <c r="I27" s="100"/>
    </row>
    <row r="28" spans="1:9" ht="30" customHeight="1">
      <c r="A28" s="37">
        <v>479</v>
      </c>
      <c r="B28" s="40" t="s">
        <v>97</v>
      </c>
      <c r="C28" s="345" t="s">
        <v>87</v>
      </c>
      <c r="D28" s="40" t="s">
        <v>62</v>
      </c>
      <c r="E28" s="41" t="s">
        <v>34</v>
      </c>
      <c r="F28" s="69">
        <v>12</v>
      </c>
      <c r="G28" s="295">
        <v>2619</v>
      </c>
      <c r="H28" s="133" t="s">
        <v>63</v>
      </c>
      <c r="I28" s="100"/>
    </row>
    <row r="29" spans="1:9" ht="45" customHeight="1">
      <c r="A29" s="37">
        <v>480</v>
      </c>
      <c r="B29" s="54" t="s">
        <v>98</v>
      </c>
      <c r="C29" s="40" t="s">
        <v>61</v>
      </c>
      <c r="D29" s="40" t="s">
        <v>62</v>
      </c>
      <c r="E29" s="41" t="s">
        <v>25</v>
      </c>
      <c r="F29" s="69">
        <v>59</v>
      </c>
      <c r="G29" s="295">
        <v>748.23</v>
      </c>
      <c r="H29" s="133" t="s">
        <v>63</v>
      </c>
      <c r="I29" s="100"/>
    </row>
    <row r="30" spans="1:9" ht="30" customHeight="1">
      <c r="A30" s="37">
        <v>481</v>
      </c>
      <c r="B30" s="40" t="s">
        <v>99</v>
      </c>
      <c r="C30" s="40" t="s">
        <v>100</v>
      </c>
      <c r="D30" s="40" t="s">
        <v>62</v>
      </c>
      <c r="E30" s="41" t="s">
        <v>34</v>
      </c>
      <c r="F30" s="69">
        <v>5</v>
      </c>
      <c r="G30" s="295">
        <v>1509.52</v>
      </c>
      <c r="H30" s="133" t="s">
        <v>63</v>
      </c>
      <c r="I30" s="100"/>
    </row>
    <row r="31" spans="1:9" ht="30" customHeight="1">
      <c r="A31" s="37">
        <v>482</v>
      </c>
      <c r="B31" s="40" t="s">
        <v>101</v>
      </c>
      <c r="C31" s="40" t="s">
        <v>102</v>
      </c>
      <c r="D31" s="40" t="s">
        <v>62</v>
      </c>
      <c r="E31" s="41" t="s">
        <v>34</v>
      </c>
      <c r="F31" s="69">
        <v>0.4</v>
      </c>
      <c r="G31" s="295">
        <v>238</v>
      </c>
      <c r="H31" s="133" t="s">
        <v>63</v>
      </c>
      <c r="I31" s="100"/>
    </row>
    <row r="32" spans="1:9" ht="30" customHeight="1">
      <c r="A32" s="37">
        <v>483</v>
      </c>
      <c r="B32" s="40" t="s">
        <v>228</v>
      </c>
      <c r="C32" s="40" t="s">
        <v>229</v>
      </c>
      <c r="D32" s="40" t="s">
        <v>62</v>
      </c>
      <c r="E32" s="41" t="s">
        <v>34</v>
      </c>
      <c r="F32" s="69">
        <v>10</v>
      </c>
      <c r="G32" s="295">
        <v>452</v>
      </c>
      <c r="H32" s="133" t="s">
        <v>63</v>
      </c>
      <c r="I32" s="100"/>
    </row>
    <row r="33" spans="1:9" ht="30" customHeight="1">
      <c r="A33" s="37">
        <v>484</v>
      </c>
      <c r="B33" s="40" t="s">
        <v>103</v>
      </c>
      <c r="C33" s="40" t="s">
        <v>104</v>
      </c>
      <c r="D33" s="40" t="s">
        <v>62</v>
      </c>
      <c r="E33" s="41" t="s">
        <v>25</v>
      </c>
      <c r="F33" s="69">
        <v>225</v>
      </c>
      <c r="G33" s="295">
        <v>1044</v>
      </c>
      <c r="H33" s="133" t="s">
        <v>63</v>
      </c>
      <c r="I33" s="100"/>
    </row>
    <row r="34" spans="1:9" ht="30" customHeight="1">
      <c r="A34" s="37">
        <v>485</v>
      </c>
      <c r="B34" s="38" t="s">
        <v>105</v>
      </c>
      <c r="C34" s="40" t="s">
        <v>70</v>
      </c>
      <c r="D34" s="40" t="s">
        <v>62</v>
      </c>
      <c r="E34" s="41" t="s">
        <v>34</v>
      </c>
      <c r="F34" s="69">
        <v>3</v>
      </c>
      <c r="G34" s="295">
        <v>99.7</v>
      </c>
      <c r="H34" s="133" t="s">
        <v>63</v>
      </c>
      <c r="I34" s="100"/>
    </row>
    <row r="35" spans="1:9" ht="45" customHeight="1">
      <c r="A35" s="37">
        <v>486</v>
      </c>
      <c r="B35" s="235" t="s">
        <v>60</v>
      </c>
      <c r="C35" s="236" t="s">
        <v>61</v>
      </c>
      <c r="D35" s="236" t="s">
        <v>62</v>
      </c>
      <c r="E35" s="83" t="s">
        <v>34</v>
      </c>
      <c r="F35" s="237">
        <v>0.8</v>
      </c>
      <c r="G35" s="295">
        <v>34.88</v>
      </c>
      <c r="H35" s="133" t="s">
        <v>63</v>
      </c>
      <c r="I35" s="100"/>
    </row>
    <row r="36" spans="1:9" s="10" customFormat="1" ht="29.25" customHeight="1">
      <c r="A36" s="296"/>
      <c r="B36" s="308" t="s">
        <v>106</v>
      </c>
      <c r="C36" s="328"/>
      <c r="D36" s="329"/>
      <c r="E36" s="330"/>
      <c r="F36" s="263"/>
      <c r="G36" s="297">
        <f>SUM(G15:G35)</f>
        <v>16240</v>
      </c>
      <c r="H36" s="265"/>
      <c r="I36" s="100"/>
    </row>
    <row r="37" spans="1:12" s="6" customFormat="1" ht="30" customHeight="1">
      <c r="A37" s="37">
        <v>489</v>
      </c>
      <c r="B37" s="160" t="s">
        <v>111</v>
      </c>
      <c r="C37" s="133" t="s">
        <v>112</v>
      </c>
      <c r="D37" s="133" t="s">
        <v>109</v>
      </c>
      <c r="E37" s="41" t="s">
        <v>113</v>
      </c>
      <c r="F37" s="41" t="s">
        <v>411</v>
      </c>
      <c r="G37" s="42">
        <v>360</v>
      </c>
      <c r="H37" s="133" t="s">
        <v>63</v>
      </c>
      <c r="I37" s="100"/>
      <c r="K37" s="6">
        <v>100</v>
      </c>
      <c r="L37" s="166">
        <f>G37-K37</f>
        <v>260</v>
      </c>
    </row>
    <row r="38" spans="1:12" s="6" customFormat="1" ht="30" customHeight="1">
      <c r="A38" s="37">
        <v>490</v>
      </c>
      <c r="B38" s="160" t="s">
        <v>115</v>
      </c>
      <c r="C38" s="133" t="s">
        <v>116</v>
      </c>
      <c r="D38" s="133" t="s">
        <v>109</v>
      </c>
      <c r="E38" s="41" t="s">
        <v>113</v>
      </c>
      <c r="F38" s="50" t="s">
        <v>117</v>
      </c>
      <c r="G38" s="42">
        <v>492</v>
      </c>
      <c r="H38" s="133" t="s">
        <v>412</v>
      </c>
      <c r="I38" s="100"/>
      <c r="K38" s="6">
        <f>154</f>
        <v>154</v>
      </c>
      <c r="L38" s="166">
        <f>G38-K38</f>
        <v>338</v>
      </c>
    </row>
    <row r="39" spans="1:12" s="6" customFormat="1" ht="44.25" customHeight="1">
      <c r="A39" s="37">
        <v>491</v>
      </c>
      <c r="B39" s="160" t="s">
        <v>118</v>
      </c>
      <c r="C39" s="133" t="s">
        <v>119</v>
      </c>
      <c r="D39" s="133" t="s">
        <v>109</v>
      </c>
      <c r="E39" s="41" t="s">
        <v>120</v>
      </c>
      <c r="F39" s="41" t="s">
        <v>121</v>
      </c>
      <c r="G39" s="42">
        <v>1285.85</v>
      </c>
      <c r="H39" s="133" t="s">
        <v>63</v>
      </c>
      <c r="I39" s="100"/>
      <c r="K39" s="6">
        <f>615.68</f>
        <v>615.68</v>
      </c>
      <c r="L39" s="166">
        <f>G39-K39</f>
        <v>670.17</v>
      </c>
    </row>
    <row r="40" spans="1:12" s="6" customFormat="1" ht="29.25" customHeight="1">
      <c r="A40" s="37">
        <v>492</v>
      </c>
      <c r="B40" s="160" t="s">
        <v>124</v>
      </c>
      <c r="C40" s="161" t="s">
        <v>239</v>
      </c>
      <c r="D40" s="133" t="s">
        <v>109</v>
      </c>
      <c r="E40" s="41" t="s">
        <v>126</v>
      </c>
      <c r="F40" s="41">
        <v>30</v>
      </c>
      <c r="G40" s="42">
        <v>88.8</v>
      </c>
      <c r="H40" s="133" t="s">
        <v>19</v>
      </c>
      <c r="I40" s="100"/>
      <c r="L40" s="166">
        <f>G40-K40</f>
        <v>88.8</v>
      </c>
    </row>
    <row r="41" spans="1:12" s="6" customFormat="1" ht="29.25" customHeight="1">
      <c r="A41" s="37">
        <v>493</v>
      </c>
      <c r="B41" s="160" t="s">
        <v>127</v>
      </c>
      <c r="C41" s="161" t="s">
        <v>239</v>
      </c>
      <c r="D41" s="133" t="s">
        <v>109</v>
      </c>
      <c r="E41" s="41" t="s">
        <v>126</v>
      </c>
      <c r="F41" s="41">
        <v>772.9</v>
      </c>
      <c r="G41" s="42">
        <v>1994.08</v>
      </c>
      <c r="H41" s="133" t="s">
        <v>19</v>
      </c>
      <c r="I41" s="100"/>
      <c r="L41" s="166">
        <f>G41-K41</f>
        <v>1994.08</v>
      </c>
    </row>
    <row r="42" spans="1:12" ht="45" customHeight="1">
      <c r="A42" s="37">
        <v>494</v>
      </c>
      <c r="B42" s="38" t="s">
        <v>128</v>
      </c>
      <c r="C42" s="40" t="s">
        <v>129</v>
      </c>
      <c r="D42" s="40" t="s">
        <v>109</v>
      </c>
      <c r="E42" s="41" t="s">
        <v>25</v>
      </c>
      <c r="F42" s="41">
        <v>1</v>
      </c>
      <c r="G42" s="163">
        <v>56923</v>
      </c>
      <c r="H42" s="155" t="s">
        <v>63</v>
      </c>
      <c r="I42" s="100"/>
      <c r="L42" s="74"/>
    </row>
    <row r="43" spans="1:12" ht="45" customHeight="1">
      <c r="A43" s="37">
        <v>495</v>
      </c>
      <c r="B43" s="38" t="s">
        <v>413</v>
      </c>
      <c r="C43" s="88" t="s">
        <v>242</v>
      </c>
      <c r="D43" s="40" t="s">
        <v>109</v>
      </c>
      <c r="E43" s="41" t="s">
        <v>25</v>
      </c>
      <c r="F43" s="41">
        <v>3</v>
      </c>
      <c r="G43" s="311">
        <v>576.72</v>
      </c>
      <c r="H43" s="155" t="s">
        <v>132</v>
      </c>
      <c r="I43" s="100"/>
      <c r="L43" s="74"/>
    </row>
    <row r="44" spans="1:12" ht="45" customHeight="1">
      <c r="A44" s="37">
        <v>496</v>
      </c>
      <c r="B44" s="38" t="s">
        <v>414</v>
      </c>
      <c r="C44" s="88" t="s">
        <v>242</v>
      </c>
      <c r="D44" s="40" t="s">
        <v>109</v>
      </c>
      <c r="E44" s="41" t="s">
        <v>25</v>
      </c>
      <c r="F44" s="41">
        <v>6</v>
      </c>
      <c r="G44" s="311">
        <v>1257.6</v>
      </c>
      <c r="H44" s="155" t="s">
        <v>19</v>
      </c>
      <c r="I44" s="100"/>
      <c r="L44" s="74"/>
    </row>
    <row r="45" spans="1:12" ht="45" customHeight="1">
      <c r="A45" s="37">
        <v>497</v>
      </c>
      <c r="B45" s="38" t="s">
        <v>403</v>
      </c>
      <c r="C45" s="88" t="s">
        <v>242</v>
      </c>
      <c r="D45" s="40" t="s">
        <v>109</v>
      </c>
      <c r="E45" s="41" t="s">
        <v>25</v>
      </c>
      <c r="F45" s="41">
        <v>1</v>
      </c>
      <c r="G45" s="311">
        <v>162.5</v>
      </c>
      <c r="H45" s="155" t="s">
        <v>19</v>
      </c>
      <c r="I45" s="100"/>
      <c r="L45" s="74"/>
    </row>
    <row r="46" spans="1:12" ht="45" customHeight="1">
      <c r="A46" s="37">
        <v>498</v>
      </c>
      <c r="B46" s="38" t="s">
        <v>415</v>
      </c>
      <c r="C46" s="88" t="s">
        <v>242</v>
      </c>
      <c r="D46" s="40" t="s">
        <v>109</v>
      </c>
      <c r="E46" s="41" t="s">
        <v>25</v>
      </c>
      <c r="F46" s="41">
        <v>1</v>
      </c>
      <c r="G46" s="311">
        <v>183.45</v>
      </c>
      <c r="H46" s="155" t="s">
        <v>19</v>
      </c>
      <c r="I46" s="100"/>
      <c r="L46" s="74"/>
    </row>
    <row r="47" spans="1:12" s="10" customFormat="1" ht="30" customHeight="1">
      <c r="A47" s="296"/>
      <c r="B47" s="260" t="s">
        <v>136</v>
      </c>
      <c r="C47" s="261"/>
      <c r="D47" s="262"/>
      <c r="E47" s="263"/>
      <c r="F47" s="263"/>
      <c r="G47" s="297">
        <f>SUM(G37:G46)</f>
        <v>63323.99999999999</v>
      </c>
      <c r="H47" s="265"/>
      <c r="I47" s="100"/>
      <c r="K47" s="10">
        <f>SUM(K37:K46)</f>
        <v>869.68</v>
      </c>
      <c r="L47" s="267">
        <f>G47-K47</f>
        <v>62454.31999999999</v>
      </c>
    </row>
    <row r="48" spans="1:11" ht="30" customHeight="1">
      <c r="A48" s="37">
        <v>499</v>
      </c>
      <c r="B48" s="38" t="s">
        <v>137</v>
      </c>
      <c r="C48" s="52" t="s">
        <v>138</v>
      </c>
      <c r="D48" s="40" t="s">
        <v>139</v>
      </c>
      <c r="E48" s="41" t="s">
        <v>140</v>
      </c>
      <c r="F48" s="53">
        <f>G48/2878.55</f>
        <v>50.23362456792482</v>
      </c>
      <c r="G48" s="295">
        <v>144600</v>
      </c>
      <c r="H48" s="155" t="s">
        <v>63</v>
      </c>
      <c r="I48" s="100"/>
      <c r="K48" s="12">
        <f>51025</f>
        <v>51025</v>
      </c>
    </row>
    <row r="49" spans="1:9" s="10" customFormat="1" ht="30" customHeight="1">
      <c r="A49" s="296"/>
      <c r="B49" s="260" t="s">
        <v>141</v>
      </c>
      <c r="C49" s="261"/>
      <c r="D49" s="262"/>
      <c r="E49" s="263"/>
      <c r="F49" s="263"/>
      <c r="G49" s="297">
        <f>SUM(G48:G48)</f>
        <v>144600</v>
      </c>
      <c r="H49" s="265"/>
      <c r="I49" s="100"/>
    </row>
    <row r="50" spans="1:13" ht="30" customHeight="1">
      <c r="A50" s="37">
        <v>500</v>
      </c>
      <c r="B50" s="38" t="s">
        <v>142</v>
      </c>
      <c r="C50" s="54" t="s">
        <v>143</v>
      </c>
      <c r="D50" s="40" t="s">
        <v>144</v>
      </c>
      <c r="E50" s="41" t="s">
        <v>145</v>
      </c>
      <c r="F50" s="56">
        <f>G50/4.143</f>
        <v>1563.6012551291335</v>
      </c>
      <c r="G50" s="295">
        <v>6478</v>
      </c>
      <c r="H50" s="155" t="s">
        <v>63</v>
      </c>
      <c r="I50" s="100"/>
      <c r="K50" s="12">
        <f>2485.8+306.36</f>
        <v>2792.1600000000003</v>
      </c>
      <c r="L50" s="240">
        <f>F50-J50</f>
        <v>1563.6012551291335</v>
      </c>
      <c r="M50" s="74">
        <f>G50-K50</f>
        <v>3685.8399999999997</v>
      </c>
    </row>
    <row r="51" spans="1:9" s="10" customFormat="1" ht="30" customHeight="1">
      <c r="A51" s="296"/>
      <c r="B51" s="260" t="s">
        <v>146</v>
      </c>
      <c r="C51" s="261"/>
      <c r="D51" s="262"/>
      <c r="E51" s="263"/>
      <c r="F51" s="263"/>
      <c r="G51" s="297">
        <f>G50</f>
        <v>6478</v>
      </c>
      <c r="H51" s="265"/>
      <c r="I51" s="100"/>
    </row>
    <row r="52" spans="1:9" ht="45" customHeight="1">
      <c r="A52" s="37">
        <v>501</v>
      </c>
      <c r="B52" s="38" t="s">
        <v>405</v>
      </c>
      <c r="C52" s="54" t="s">
        <v>406</v>
      </c>
      <c r="D52" s="40" t="s">
        <v>149</v>
      </c>
      <c r="E52" s="41" t="s">
        <v>25</v>
      </c>
      <c r="F52" s="56">
        <v>1</v>
      </c>
      <c r="G52" s="295">
        <v>88950</v>
      </c>
      <c r="H52" s="40" t="s">
        <v>63</v>
      </c>
      <c r="I52" s="100"/>
    </row>
    <row r="53" spans="1:9" s="10" customFormat="1" ht="30" customHeight="1">
      <c r="A53" s="296"/>
      <c r="B53" s="260" t="s">
        <v>150</v>
      </c>
      <c r="C53" s="261"/>
      <c r="D53" s="262"/>
      <c r="E53" s="262"/>
      <c r="F53" s="262"/>
      <c r="G53" s="297">
        <f>G52</f>
        <v>88950</v>
      </c>
      <c r="H53" s="265"/>
      <c r="I53" s="100"/>
    </row>
    <row r="54" spans="1:9" ht="22.5" customHeight="1">
      <c r="A54" s="19"/>
      <c r="B54" s="208" t="s">
        <v>151</v>
      </c>
      <c r="C54" s="167"/>
      <c r="D54" s="168"/>
      <c r="E54" s="207"/>
      <c r="F54" s="168"/>
      <c r="G54" s="304"/>
      <c r="H54" s="8"/>
      <c r="I54" s="223"/>
    </row>
    <row r="55" spans="1:9" ht="22.5" customHeight="1">
      <c r="A55" s="19"/>
      <c r="B55" s="106" t="s">
        <v>152</v>
      </c>
      <c r="C55" s="107"/>
      <c r="D55" s="108" t="s">
        <v>153</v>
      </c>
      <c r="E55" s="109"/>
      <c r="F55" s="109"/>
      <c r="G55" s="304"/>
      <c r="H55" s="171"/>
      <c r="I55" s="223"/>
    </row>
    <row r="56" spans="1:9" s="8" customFormat="1" ht="22.5" customHeight="1">
      <c r="A56" s="19"/>
      <c r="B56" s="111"/>
      <c r="C56" s="9"/>
      <c r="D56" s="112" t="s">
        <v>154</v>
      </c>
      <c r="E56" s="113" t="s">
        <v>155</v>
      </c>
      <c r="F56" s="114"/>
      <c r="G56" s="304"/>
      <c r="H56" s="171"/>
      <c r="I56" s="223"/>
    </row>
    <row r="57" spans="1:9" s="8" customFormat="1" ht="22.5" customHeight="1">
      <c r="A57" s="19"/>
      <c r="B57" s="115" t="s">
        <v>156</v>
      </c>
      <c r="C57" s="116"/>
      <c r="D57" s="108" t="s">
        <v>157</v>
      </c>
      <c r="E57" s="109"/>
      <c r="F57" s="109"/>
      <c r="G57" s="304"/>
      <c r="H57" s="171"/>
      <c r="I57" s="223"/>
    </row>
    <row r="58" spans="1:9" ht="22.5" customHeight="1">
      <c r="A58" s="19"/>
      <c r="B58" s="111"/>
      <c r="C58" s="9"/>
      <c r="D58" s="112" t="s">
        <v>154</v>
      </c>
      <c r="E58" s="113"/>
      <c r="F58" s="114"/>
      <c r="G58" s="304"/>
      <c r="H58" s="8"/>
      <c r="I58" s="141"/>
    </row>
    <row r="59" spans="1:9" s="8" customFormat="1" ht="22.5" customHeight="1">
      <c r="A59" s="19"/>
      <c r="B59" s="115" t="s">
        <v>158</v>
      </c>
      <c r="C59" s="9"/>
      <c r="D59" s="9"/>
      <c r="E59" s="9"/>
      <c r="F59" s="9"/>
      <c r="G59" s="304"/>
      <c r="H59" s="171"/>
      <c r="I59" s="223"/>
    </row>
    <row r="60" spans="1:9" s="2" customFormat="1" ht="30" customHeight="1">
      <c r="A60" s="169"/>
      <c r="B60" s="229" t="s">
        <v>159</v>
      </c>
      <c r="C60" s="167"/>
      <c r="D60" s="291" t="s">
        <v>160</v>
      </c>
      <c r="E60" s="229"/>
      <c r="F60" s="170"/>
      <c r="G60" s="307"/>
      <c r="H60" s="171"/>
      <c r="I60" s="326"/>
    </row>
    <row r="61" spans="1:9" ht="22.5" customHeight="1">
      <c r="A61" s="19"/>
      <c r="B61" s="230" t="s">
        <v>161</v>
      </c>
      <c r="C61" s="167"/>
      <c r="D61" s="168"/>
      <c r="E61" s="207"/>
      <c r="F61" s="168"/>
      <c r="G61" s="304"/>
      <c r="H61" s="8"/>
      <c r="I61" s="223"/>
    </row>
    <row r="62" spans="2:3" ht="15">
      <c r="B62" s="5"/>
      <c r="C62" s="5"/>
    </row>
    <row r="63" spans="2:4" ht="15">
      <c r="B63" s="3"/>
      <c r="C63" s="3"/>
      <c r="D63" s="3"/>
    </row>
  </sheetData>
  <sheetProtection/>
  <mergeCells count="19">
    <mergeCell ref="F1:G1"/>
    <mergeCell ref="A2:I2"/>
    <mergeCell ref="B14:C14"/>
    <mergeCell ref="B36:C36"/>
    <mergeCell ref="B47:C47"/>
    <mergeCell ref="B49:C49"/>
    <mergeCell ref="B51:C51"/>
    <mergeCell ref="B53:C53"/>
    <mergeCell ref="B63:C6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9:I53"/>
  </mergeCells>
  <hyperlinks>
    <hyperlink ref="C13" r:id="rId1" display="73.11.1; ДК 016:2010"/>
  </hyperlinks>
  <printOptions/>
  <pageMargins left="0.16" right="0.16" top="0.82" bottom="0.47" header="0.31" footer="0.16"/>
  <pageSetup fitToHeight="8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1111</cp:lastModifiedBy>
  <cp:lastPrinted>2018-11-12T09:10:40Z</cp:lastPrinted>
  <dcterms:created xsi:type="dcterms:W3CDTF">2016-07-15T06:15:27Z</dcterms:created>
  <dcterms:modified xsi:type="dcterms:W3CDTF">2018-11-18T08:19:57Z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1049-10.2.0.7549</vt:lpwstr>
  </property>
</Properties>
</file>